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528" windowWidth="23256" windowHeight="10908"/>
  </bookViews>
  <sheets>
    <sheet name="ЖУ" sheetId="1" r:id="rId1"/>
  </sheets>
  <externalReferences>
    <externalReference r:id="rId2"/>
    <externalReference r:id="rId3"/>
    <externalReference r:id="rId4"/>
    <externalReference r:id="rId5"/>
  </externalReferences>
  <definedNames>
    <definedName name="_xlnm.Print_Area" localSheetId="0">ЖУ!$A$1:$AE$78</definedName>
  </definedNames>
  <calcPr calcId="145621"/>
</workbook>
</file>

<file path=xl/calcChain.xml><?xml version="1.0" encoding="utf-8"?>
<calcChain xmlns="http://schemas.openxmlformats.org/spreadsheetml/2006/main">
  <c r="W30" i="1" l="1"/>
  <c r="W43" i="1"/>
  <c r="W55" i="1" l="1"/>
  <c r="Q51" i="1" l="1"/>
  <c r="U51" i="1" s="1"/>
  <c r="W35" i="1"/>
  <c r="W28" i="1"/>
  <c r="W27" i="1"/>
  <c r="W21" i="1"/>
  <c r="W23" i="1"/>
  <c r="W24" i="1"/>
  <c r="W19" i="1"/>
  <c r="W15" i="1"/>
  <c r="W14" i="1"/>
  <c r="W57" i="1" l="1"/>
  <c r="I55" i="1" l="1"/>
  <c r="K55" i="1" s="1"/>
  <c r="L55" i="1" s="1"/>
  <c r="AA78" i="1"/>
  <c r="AB78" i="1" s="1"/>
  <c r="AA77" i="1"/>
  <c r="AB77" i="1" s="1"/>
  <c r="D77" i="1"/>
  <c r="AA76" i="1"/>
  <c r="AB76" i="1" s="1"/>
  <c r="D76" i="1"/>
  <c r="AA75" i="1"/>
  <c r="AB75" i="1" s="1"/>
  <c r="Y59" i="1"/>
  <c r="X59" i="1"/>
  <c r="AB57" i="1"/>
  <c r="AF57" i="1" s="1"/>
  <c r="U57" i="1"/>
  <c r="V57" i="1" s="1"/>
  <c r="T57" i="1"/>
  <c r="O57" i="1"/>
  <c r="M57" i="1" s="1"/>
  <c r="AF55" i="1"/>
  <c r="AD55" i="1"/>
  <c r="AB55" i="1"/>
  <c r="Z55" i="1"/>
  <c r="Q55" i="1"/>
  <c r="O55" i="1"/>
  <c r="M55" i="1"/>
  <c r="N55" i="1" s="1"/>
  <c r="J55" i="1"/>
  <c r="S55" i="1" s="1"/>
  <c r="AE50" i="1"/>
  <c r="AA50" i="1"/>
  <c r="W50" i="1"/>
  <c r="Y50" i="1" s="1"/>
  <c r="O50" i="1"/>
  <c r="Q50" i="1" s="1"/>
  <c r="R50" i="1" s="1"/>
  <c r="N50" i="1"/>
  <c r="L50" i="1"/>
  <c r="AE49" i="1"/>
  <c r="AA49" i="1"/>
  <c r="W49" i="1"/>
  <c r="Y49" i="1" s="1"/>
  <c r="R49" i="1"/>
  <c r="O49" i="1"/>
  <c r="P49" i="1" s="1"/>
  <c r="N49" i="1"/>
  <c r="L49" i="1"/>
  <c r="AE48" i="1"/>
  <c r="AA48" i="1"/>
  <c r="W48" i="1"/>
  <c r="Y48" i="1" s="1"/>
  <c r="O48" i="1"/>
  <c r="Q48" i="1" s="1"/>
  <c r="R48" i="1" s="1"/>
  <c r="N48" i="1"/>
  <c r="L48" i="1"/>
  <c r="W47" i="1"/>
  <c r="I47" i="1"/>
  <c r="N47" i="1" s="1"/>
  <c r="AE43" i="1"/>
  <c r="Z43" i="1"/>
  <c r="AB43" i="1" s="1"/>
  <c r="AF43" i="1" s="1"/>
  <c r="AG43" i="1" s="1"/>
  <c r="M43" i="1"/>
  <c r="N43" i="1" s="1"/>
  <c r="K43" i="1"/>
  <c r="L43" i="1" s="1"/>
  <c r="Q41" i="1"/>
  <c r="U41" i="1" s="1"/>
  <c r="AG40" i="1"/>
  <c r="AC40" i="1"/>
  <c r="AA40" i="1"/>
  <c r="W40" i="1"/>
  <c r="X40" i="1" s="1"/>
  <c r="O40" i="1"/>
  <c r="J40" i="1"/>
  <c r="S40" i="1" s="1"/>
  <c r="AB39" i="1"/>
  <c r="W39" i="1" s="1"/>
  <c r="AA39" i="1"/>
  <c r="O39" i="1"/>
  <c r="P39" i="1" s="1"/>
  <c r="J39" i="1"/>
  <c r="AB38" i="1"/>
  <c r="AC38" i="1" s="1"/>
  <c r="AA38" i="1"/>
  <c r="O38" i="1"/>
  <c r="Q38" i="1" s="1"/>
  <c r="R38" i="1" s="1"/>
  <c r="J38" i="1"/>
  <c r="S38" i="1" s="1"/>
  <c r="T38" i="1" s="1"/>
  <c r="AG37" i="1"/>
  <c r="AC37" i="1"/>
  <c r="AA37" i="1"/>
  <c r="W37" i="1"/>
  <c r="O37" i="1"/>
  <c r="P37" i="1" s="1"/>
  <c r="J37" i="1"/>
  <c r="S37" i="1" s="1"/>
  <c r="AD36" i="1"/>
  <c r="Z36" i="1"/>
  <c r="I36" i="1"/>
  <c r="AE35" i="1"/>
  <c r="AB35" i="1"/>
  <c r="AC35" i="1" s="1"/>
  <c r="AA35" i="1"/>
  <c r="X35" i="1"/>
  <c r="Q35" i="1"/>
  <c r="R35" i="1" s="1"/>
  <c r="O35" i="1"/>
  <c r="P35" i="1" s="1"/>
  <c r="N35" i="1"/>
  <c r="K35" i="1"/>
  <c r="AF35" i="1" s="1"/>
  <c r="AG35" i="1" s="1"/>
  <c r="AE34" i="1"/>
  <c r="AB34" i="1"/>
  <c r="AC34" i="1" s="1"/>
  <c r="AA34" i="1"/>
  <c r="O34" i="1"/>
  <c r="M34" i="1"/>
  <c r="N34" i="1" s="1"/>
  <c r="K34" i="1"/>
  <c r="L34" i="1" s="1"/>
  <c r="AG33" i="1"/>
  <c r="AE33" i="1"/>
  <c r="AC33" i="1"/>
  <c r="AA33" i="1"/>
  <c r="W33" i="1"/>
  <c r="O33" i="1"/>
  <c r="M33" i="1"/>
  <c r="N33" i="1" s="1"/>
  <c r="K33" i="1"/>
  <c r="L33" i="1" s="1"/>
  <c r="AE32" i="1"/>
  <c r="AB32" i="1"/>
  <c r="AC32" i="1" s="1"/>
  <c r="AA32" i="1"/>
  <c r="O32" i="1"/>
  <c r="P32" i="1" s="1"/>
  <c r="M32" i="1"/>
  <c r="N32" i="1" s="1"/>
  <c r="K32" i="1"/>
  <c r="L32" i="1" s="1"/>
  <c r="AE31" i="1"/>
  <c r="AB31" i="1"/>
  <c r="AC31" i="1" s="1"/>
  <c r="AA31" i="1"/>
  <c r="O31" i="1"/>
  <c r="M31" i="1"/>
  <c r="N31" i="1" s="1"/>
  <c r="K31" i="1"/>
  <c r="L31" i="1" s="1"/>
  <c r="AE30" i="1"/>
  <c r="AB30" i="1"/>
  <c r="AC30" i="1" s="1"/>
  <c r="AA30" i="1"/>
  <c r="X30" i="1"/>
  <c r="O30" i="1"/>
  <c r="Q30" i="1" s="1"/>
  <c r="R30" i="1" s="1"/>
  <c r="M30" i="1"/>
  <c r="N30" i="1" s="1"/>
  <c r="L30" i="1"/>
  <c r="AE28" i="1"/>
  <c r="AB28" i="1"/>
  <c r="AC28" i="1" s="1"/>
  <c r="Y28" i="1"/>
  <c r="X28" i="1"/>
  <c r="O28" i="1"/>
  <c r="P28" i="1" s="1"/>
  <c r="M28" i="1"/>
  <c r="N28" i="1" s="1"/>
  <c r="AE27" i="1"/>
  <c r="AB27" i="1"/>
  <c r="O27" i="1"/>
  <c r="M27" i="1"/>
  <c r="N27" i="1" s="1"/>
  <c r="O26" i="1"/>
  <c r="I26" i="1"/>
  <c r="W26" i="1" s="1"/>
  <c r="AE25" i="1"/>
  <c r="AB25" i="1"/>
  <c r="Z25" i="1"/>
  <c r="AA25" i="1" s="1"/>
  <c r="O25" i="1"/>
  <c r="P25" i="1" s="1"/>
  <c r="M25" i="1"/>
  <c r="N25" i="1" s="1"/>
  <c r="K25" i="1"/>
  <c r="L25" i="1" s="1"/>
  <c r="AG24" i="1"/>
  <c r="AE24" i="1"/>
  <c r="AB24" i="1"/>
  <c r="R24" i="1"/>
  <c r="P24" i="1"/>
  <c r="M24" i="1"/>
  <c r="N24" i="1" s="1"/>
  <c r="AG23" i="1"/>
  <c r="AE23" i="1"/>
  <c r="AB23" i="1"/>
  <c r="R23" i="1"/>
  <c r="P23" i="1"/>
  <c r="M23" i="1"/>
  <c r="N23" i="1" s="1"/>
  <c r="O22" i="1"/>
  <c r="Q22" i="1" s="1"/>
  <c r="I22" i="1"/>
  <c r="AG21" i="1"/>
  <c r="AE21" i="1"/>
  <c r="AB21" i="1"/>
  <c r="O21" i="1"/>
  <c r="Q21" i="1" s="1"/>
  <c r="R21" i="1" s="1"/>
  <c r="M21" i="1"/>
  <c r="N21" i="1" s="1"/>
  <c r="AG20" i="1"/>
  <c r="AB20" i="1"/>
  <c r="AC20" i="1" s="1"/>
  <c r="X20" i="1"/>
  <c r="M20" i="1"/>
  <c r="N20" i="1" s="1"/>
  <c r="AG19" i="1"/>
  <c r="AE19" i="1"/>
  <c r="AB19" i="1"/>
  <c r="X19" i="1" s="1"/>
  <c r="O19" i="1"/>
  <c r="P19" i="1" s="1"/>
  <c r="M19" i="1"/>
  <c r="N19" i="1" s="1"/>
  <c r="AG18" i="1"/>
  <c r="AB18" i="1"/>
  <c r="AC18" i="1" s="1"/>
  <c r="X18" i="1"/>
  <c r="M18" i="1"/>
  <c r="N18" i="1" s="1"/>
  <c r="AG17" i="1"/>
  <c r="AE17" i="1"/>
  <c r="AB17" i="1"/>
  <c r="AC17" i="1" s="1"/>
  <c r="X17" i="1"/>
  <c r="O17" i="1"/>
  <c r="P17" i="1" s="1"/>
  <c r="M17" i="1"/>
  <c r="N17" i="1" s="1"/>
  <c r="AG16" i="1"/>
  <c r="AE16" i="1"/>
  <c r="AB16" i="1"/>
  <c r="O16" i="1"/>
  <c r="Q16" i="1" s="1"/>
  <c r="R16" i="1" s="1"/>
  <c r="M16" i="1"/>
  <c r="N16" i="1" s="1"/>
  <c r="AG15" i="1"/>
  <c r="AE15" i="1"/>
  <c r="AB15" i="1"/>
  <c r="AC15" i="1" s="1"/>
  <c r="X15" i="1"/>
  <c r="O15" i="1"/>
  <c r="P15" i="1" s="1"/>
  <c r="M15" i="1"/>
  <c r="N15" i="1" s="1"/>
  <c r="AG14" i="1"/>
  <c r="AE14" i="1"/>
  <c r="AB14" i="1"/>
  <c r="O14" i="1"/>
  <c r="Q14" i="1" s="1"/>
  <c r="R14" i="1" s="1"/>
  <c r="M14" i="1"/>
  <c r="N14" i="1" s="1"/>
  <c r="AF13" i="1"/>
  <c r="AD13" i="1"/>
  <c r="I13" i="1"/>
  <c r="AE13" i="1" s="1"/>
  <c r="AD12" i="1"/>
  <c r="AE10" i="1"/>
  <c r="AB10" i="1"/>
  <c r="AC10" i="1" s="1"/>
  <c r="AA10" i="1"/>
  <c r="W10" i="1"/>
  <c r="O10" i="1"/>
  <c r="M10" i="1"/>
  <c r="N10" i="1" s="1"/>
  <c r="L10" i="1"/>
  <c r="H9" i="1"/>
  <c r="AD42" i="1" l="1"/>
  <c r="R22" i="1"/>
  <c r="AF30" i="1"/>
  <c r="AG30" i="1" s="1"/>
  <c r="L35" i="1"/>
  <c r="M22" i="1"/>
  <c r="N22" i="1" s="1"/>
  <c r="AF28" i="1"/>
  <c r="AG28" i="1" s="1"/>
  <c r="AA55" i="1"/>
  <c r="AC19" i="1"/>
  <c r="Y30" i="1"/>
  <c r="AE55" i="1"/>
  <c r="AA43" i="1"/>
  <c r="AG55" i="1"/>
  <c r="T55" i="1"/>
  <c r="U55" i="1"/>
  <c r="V55" i="1" s="1"/>
  <c r="U40" i="1"/>
  <c r="V40" i="1" s="1"/>
  <c r="T40" i="1"/>
  <c r="Q37" i="1"/>
  <c r="R37" i="1" s="1"/>
  <c r="P38" i="1"/>
  <c r="P14" i="1"/>
  <c r="Y18" i="1"/>
  <c r="P21" i="1"/>
  <c r="W22" i="1"/>
  <c r="AC25" i="1"/>
  <c r="W25" i="1"/>
  <c r="X25" i="1" s="1"/>
  <c r="M26" i="1"/>
  <c r="N26" i="1" s="1"/>
  <c r="W34" i="1"/>
  <c r="X34" i="1" s="1"/>
  <c r="AF34" i="1"/>
  <c r="AG34" i="1" s="1"/>
  <c r="K36" i="1"/>
  <c r="L36" i="1" s="1"/>
  <c r="W38" i="1"/>
  <c r="X38" i="1" s="1"/>
  <c r="Y40" i="1"/>
  <c r="AE36" i="1"/>
  <c r="AF38" i="1"/>
  <c r="AG38" i="1" s="1"/>
  <c r="M36" i="1"/>
  <c r="N36" i="1" s="1"/>
  <c r="X24" i="1"/>
  <c r="Y24" i="1"/>
  <c r="U38" i="1"/>
  <c r="V38" i="1" s="1"/>
  <c r="W32" i="1"/>
  <c r="X32" i="1" s="1"/>
  <c r="P16" i="1"/>
  <c r="AC24" i="1"/>
  <c r="AF25" i="1"/>
  <c r="AG25" i="1" s="1"/>
  <c r="Y15" i="1"/>
  <c r="Y35" i="1"/>
  <c r="Q15" i="1"/>
  <c r="R15" i="1" s="1"/>
  <c r="Q28" i="1"/>
  <c r="R28" i="1" s="1"/>
  <c r="P30" i="1"/>
  <c r="Q32" i="1"/>
  <c r="R32" i="1" s="1"/>
  <c r="P48" i="1"/>
  <c r="M13" i="1"/>
  <c r="N13" i="1" s="1"/>
  <c r="Q39" i="1"/>
  <c r="R39" i="1" s="1"/>
  <c r="AF32" i="1"/>
  <c r="AG32" i="1" s="1"/>
  <c r="W31" i="1"/>
  <c r="X31" i="1" s="1"/>
  <c r="AF31" i="1"/>
  <c r="AG31" i="1" s="1"/>
  <c r="AD53" i="1"/>
  <c r="AG22" i="1"/>
  <c r="AF27" i="1"/>
  <c r="AC27" i="1"/>
  <c r="P10" i="1"/>
  <c r="X10" i="1"/>
  <c r="I12" i="1"/>
  <c r="J31" i="1" s="1"/>
  <c r="S31" i="1" s="1"/>
  <c r="AC16" i="1"/>
  <c r="Q19" i="1"/>
  <c r="R19" i="1" s="1"/>
  <c r="K22" i="1"/>
  <c r="L22" i="1" s="1"/>
  <c r="AC23" i="1"/>
  <c r="AE26" i="1"/>
  <c r="X39" i="1"/>
  <c r="Y39" i="1"/>
  <c r="Q10" i="1"/>
  <c r="Y10" i="1"/>
  <c r="Q17" i="1"/>
  <c r="R17" i="1" s="1"/>
  <c r="Y17" i="1"/>
  <c r="Y20" i="1"/>
  <c r="Q25" i="1"/>
  <c r="R25" i="1" s="1"/>
  <c r="K26" i="1"/>
  <c r="L26" i="1" s="1"/>
  <c r="P26" i="1"/>
  <c r="U37" i="1"/>
  <c r="V37" i="1" s="1"/>
  <c r="T37" i="1"/>
  <c r="Y37" i="1"/>
  <c r="X37" i="1"/>
  <c r="Q40" i="1"/>
  <c r="R40" i="1" s="1"/>
  <c r="P40" i="1"/>
  <c r="AE22" i="1"/>
  <c r="AB22" i="1"/>
  <c r="P27" i="1"/>
  <c r="Q27" i="1"/>
  <c r="S39" i="1"/>
  <c r="J36" i="1"/>
  <c r="S36" i="1" s="1"/>
  <c r="J32" i="1"/>
  <c r="S32" i="1" s="1"/>
  <c r="J20" i="1"/>
  <c r="O13" i="1"/>
  <c r="Y19" i="1"/>
  <c r="AC21" i="1"/>
  <c r="P22" i="1"/>
  <c r="AF10" i="1"/>
  <c r="K13" i="1"/>
  <c r="L13" i="1" s="1"/>
  <c r="AG13" i="1"/>
  <c r="AC14" i="1"/>
  <c r="AB13" i="1"/>
  <c r="AB26" i="1"/>
  <c r="P31" i="1"/>
  <c r="Q31" i="1"/>
  <c r="R31" i="1" s="1"/>
  <c r="Q34" i="1"/>
  <c r="R34" i="1" s="1"/>
  <c r="P34" i="1"/>
  <c r="AC39" i="1"/>
  <c r="AF39" i="1"/>
  <c r="AG39" i="1" s="1"/>
  <c r="AC43" i="1"/>
  <c r="Q33" i="1"/>
  <c r="R33" i="1" s="1"/>
  <c r="P33" i="1"/>
  <c r="Y33" i="1"/>
  <c r="X33" i="1"/>
  <c r="AA36" i="1"/>
  <c r="Z42" i="1"/>
  <c r="AA47" i="1"/>
  <c r="Y47" i="1"/>
  <c r="P55" i="1"/>
  <c r="X55" i="1"/>
  <c r="O36" i="1"/>
  <c r="P36" i="1" s="1"/>
  <c r="AB36" i="1"/>
  <c r="L47" i="1"/>
  <c r="AE47" i="1"/>
  <c r="P50" i="1"/>
  <c r="O47" i="1"/>
  <c r="R55" i="1"/>
  <c r="Y55" i="1"/>
  <c r="AC55" i="1"/>
  <c r="Q57" i="1"/>
  <c r="Y34" i="1" l="1"/>
  <c r="Y38" i="1"/>
  <c r="M12" i="1"/>
  <c r="M42" i="1" s="1"/>
  <c r="J14" i="1"/>
  <c r="S14" i="1" s="1"/>
  <c r="J25" i="1"/>
  <c r="S25" i="1" s="1"/>
  <c r="U25" i="1" s="1"/>
  <c r="V25" i="1" s="1"/>
  <c r="J49" i="1"/>
  <c r="S49" i="1" s="1"/>
  <c r="U49" i="1" s="1"/>
  <c r="V49" i="1" s="1"/>
  <c r="J23" i="1"/>
  <c r="S23" i="1" s="1"/>
  <c r="U23" i="1" s="1"/>
  <c r="V23" i="1" s="1"/>
  <c r="J50" i="1"/>
  <c r="S50" i="1" s="1"/>
  <c r="T50" i="1" s="1"/>
  <c r="J21" i="1"/>
  <c r="S21" i="1" s="1"/>
  <c r="T21" i="1" s="1"/>
  <c r="J15" i="1"/>
  <c r="S15" i="1" s="1"/>
  <c r="U15" i="1" s="1"/>
  <c r="V15" i="1" s="1"/>
  <c r="AF36" i="1"/>
  <c r="AG36" i="1" s="1"/>
  <c r="J19" i="1"/>
  <c r="S19" i="1" s="1"/>
  <c r="T19" i="1" s="1"/>
  <c r="J27" i="1"/>
  <c r="S27" i="1" s="1"/>
  <c r="T27" i="1" s="1"/>
  <c r="J28" i="1"/>
  <c r="S28" i="1" s="1"/>
  <c r="U28" i="1" s="1"/>
  <c r="V28" i="1" s="1"/>
  <c r="J47" i="1"/>
  <c r="S47" i="1" s="1"/>
  <c r="U47" i="1" s="1"/>
  <c r="V47" i="1" s="1"/>
  <c r="Y25" i="1"/>
  <c r="Y32" i="1"/>
  <c r="Q36" i="1"/>
  <c r="R36" i="1" s="1"/>
  <c r="Y31" i="1"/>
  <c r="T31" i="1"/>
  <c r="U31" i="1"/>
  <c r="V31" i="1" s="1"/>
  <c r="Y14" i="1"/>
  <c r="X14" i="1"/>
  <c r="W13" i="1"/>
  <c r="W12" i="1" s="1"/>
  <c r="T32" i="1"/>
  <c r="U32" i="1"/>
  <c r="V32" i="1" s="1"/>
  <c r="T39" i="1"/>
  <c r="U39" i="1"/>
  <c r="V39" i="1" s="1"/>
  <c r="AC22" i="1"/>
  <c r="R10" i="1"/>
  <c r="S10" i="1"/>
  <c r="Q47" i="1"/>
  <c r="R47" i="1" s="1"/>
  <c r="O43" i="1"/>
  <c r="P47" i="1"/>
  <c r="W36" i="1"/>
  <c r="AC36" i="1"/>
  <c r="AG10" i="1"/>
  <c r="P13" i="1"/>
  <c r="O12" i="1"/>
  <c r="Q13" i="1"/>
  <c r="R13" i="1" s="1"/>
  <c r="J22" i="1"/>
  <c r="S22" i="1" s="1"/>
  <c r="J16" i="1"/>
  <c r="S16" i="1" s="1"/>
  <c r="J33" i="1"/>
  <c r="S33" i="1" s="1"/>
  <c r="J48" i="1"/>
  <c r="S48" i="1" s="1"/>
  <c r="Q26" i="1"/>
  <c r="R26" i="1" s="1"/>
  <c r="R27" i="1"/>
  <c r="Y23" i="1"/>
  <c r="X23" i="1"/>
  <c r="Y16" i="1"/>
  <c r="X16" i="1"/>
  <c r="Z53" i="1"/>
  <c r="X43" i="1"/>
  <c r="Y43" i="1"/>
  <c r="X27" i="1"/>
  <c r="Y27" i="1"/>
  <c r="Y21" i="1"/>
  <c r="X21" i="1"/>
  <c r="I42" i="1"/>
  <c r="I53" i="1" s="1"/>
  <c r="I54" i="1" s="1"/>
  <c r="K12" i="1"/>
  <c r="J17" i="1"/>
  <c r="S17" i="1" s="1"/>
  <c r="AA12" i="1"/>
  <c r="J30" i="1"/>
  <c r="S30" i="1" s="1"/>
  <c r="J24" i="1"/>
  <c r="S24" i="1" s="1"/>
  <c r="AG27" i="1"/>
  <c r="AF26" i="1"/>
  <c r="J34" i="1"/>
  <c r="S34" i="1" s="1"/>
  <c r="AC26" i="1"/>
  <c r="AB12" i="1"/>
  <c r="AC13" i="1"/>
  <c r="J18" i="1"/>
  <c r="J26" i="1"/>
  <c r="S26" i="1" s="1"/>
  <c r="J35" i="1"/>
  <c r="S35" i="1" s="1"/>
  <c r="J43" i="1"/>
  <c r="S43" i="1" s="1"/>
  <c r="U36" i="1"/>
  <c r="V36" i="1" s="1"/>
  <c r="T36" i="1"/>
  <c r="AE12" i="1"/>
  <c r="AD54" i="1"/>
  <c r="T28" i="1" l="1"/>
  <c r="T49" i="1"/>
  <c r="W42" i="1"/>
  <c r="N12" i="1"/>
  <c r="T15" i="1"/>
  <c r="T23" i="1"/>
  <c r="T25" i="1"/>
  <c r="AA42" i="1"/>
  <c r="U50" i="1"/>
  <c r="V50" i="1" s="1"/>
  <c r="U27" i="1"/>
  <c r="V27" i="1" s="1"/>
  <c r="U21" i="1"/>
  <c r="V21" i="1" s="1"/>
  <c r="U19" i="1"/>
  <c r="V19" i="1" s="1"/>
  <c r="T47" i="1"/>
  <c r="T35" i="1"/>
  <c r="U35" i="1"/>
  <c r="V35" i="1" s="1"/>
  <c r="U34" i="1"/>
  <c r="V34" i="1" s="1"/>
  <c r="T34" i="1"/>
  <c r="T17" i="1"/>
  <c r="U17" i="1"/>
  <c r="V17" i="1" s="1"/>
  <c r="U16" i="1"/>
  <c r="V16" i="1" s="1"/>
  <c r="T16" i="1"/>
  <c r="AD58" i="1"/>
  <c r="AD56" i="1"/>
  <c r="X26" i="1"/>
  <c r="Y26" i="1"/>
  <c r="N42" i="1"/>
  <c r="M53" i="1"/>
  <c r="U48" i="1"/>
  <c r="V48" i="1" s="1"/>
  <c r="T48" i="1"/>
  <c r="P43" i="1"/>
  <c r="Q43" i="1"/>
  <c r="R43" i="1" s="1"/>
  <c r="X22" i="1"/>
  <c r="Y22" i="1"/>
  <c r="X13" i="1"/>
  <c r="Y13" i="1"/>
  <c r="T43" i="1"/>
  <c r="U43" i="1"/>
  <c r="V43" i="1" s="1"/>
  <c r="T24" i="1"/>
  <c r="U24" i="1"/>
  <c r="V24" i="1" s="1"/>
  <c r="AE42" i="1"/>
  <c r="U33" i="1"/>
  <c r="V33" i="1" s="1"/>
  <c r="T33" i="1"/>
  <c r="Q12" i="1"/>
  <c r="P12" i="1"/>
  <c r="O42" i="1"/>
  <c r="U10" i="1"/>
  <c r="T10" i="1"/>
  <c r="T30" i="1"/>
  <c r="U30" i="1"/>
  <c r="V30" i="1" s="1"/>
  <c r="J13" i="1"/>
  <c r="Y36" i="1"/>
  <c r="X36" i="1"/>
  <c r="T26" i="1"/>
  <c r="U26" i="1"/>
  <c r="V26" i="1" s="1"/>
  <c r="AC12" i="1"/>
  <c r="AB42" i="1"/>
  <c r="AG26" i="1"/>
  <c r="AF12" i="1"/>
  <c r="L12" i="1"/>
  <c r="K42" i="1"/>
  <c r="U14" i="1"/>
  <c r="V14" i="1" s="1"/>
  <c r="T14" i="1"/>
  <c r="Z54" i="1"/>
  <c r="AA53" i="1"/>
  <c r="T22" i="1"/>
  <c r="U22" i="1"/>
  <c r="V22" i="1" s="1"/>
  <c r="S13" i="1" l="1"/>
  <c r="J12" i="1"/>
  <c r="R12" i="1"/>
  <c r="Q42" i="1"/>
  <c r="AE53" i="1"/>
  <c r="AD61" i="1"/>
  <c r="AD60" i="1"/>
  <c r="Z58" i="1"/>
  <c r="Z56" i="1"/>
  <c r="L42" i="1"/>
  <c r="K53" i="1"/>
  <c r="AB53" i="1"/>
  <c r="AC42" i="1"/>
  <c r="V10" i="1"/>
  <c r="P42" i="1"/>
  <c r="O53" i="1"/>
  <c r="Y12" i="1"/>
  <c r="X12" i="1"/>
  <c r="M54" i="1"/>
  <c r="N53" i="1"/>
  <c r="AG12" i="1"/>
  <c r="AF42" i="1"/>
  <c r="I56" i="1" l="1"/>
  <c r="AE56" i="1" s="1"/>
  <c r="AE54" i="1"/>
  <c r="T13" i="1"/>
  <c r="U13" i="1"/>
  <c r="V13" i="1" s="1"/>
  <c r="AF53" i="1"/>
  <c r="AG42" i="1"/>
  <c r="M56" i="1"/>
  <c r="M58" i="1"/>
  <c r="N54" i="1"/>
  <c r="O54" i="1"/>
  <c r="P53" i="1"/>
  <c r="Q53" i="1"/>
  <c r="R42" i="1"/>
  <c r="X42" i="1"/>
  <c r="W53" i="1"/>
  <c r="W54" i="1" s="1"/>
  <c r="W58" i="1" s="1"/>
  <c r="W61" i="1" s="1"/>
  <c r="Y42" i="1"/>
  <c r="AB54" i="1"/>
  <c r="AC53" i="1"/>
  <c r="AA54" i="1"/>
  <c r="K54" i="1"/>
  <c r="L53" i="1"/>
  <c r="Z61" i="1"/>
  <c r="Z60" i="1"/>
  <c r="J42" i="1"/>
  <c r="J53" i="1" s="1"/>
  <c r="J54" i="1" s="1"/>
  <c r="S12" i="1"/>
  <c r="W56" i="1" l="1"/>
  <c r="AA56" i="1"/>
  <c r="Q54" i="1"/>
  <c r="R53" i="1"/>
  <c r="O56" i="1"/>
  <c r="P56" i="1" s="1"/>
  <c r="O58" i="1"/>
  <c r="P54" i="1"/>
  <c r="T12" i="1"/>
  <c r="U12" i="1"/>
  <c r="S42" i="1"/>
  <c r="X53" i="1"/>
  <c r="Y53" i="1"/>
  <c r="AG53" i="1"/>
  <c r="AF54" i="1"/>
  <c r="J58" i="1"/>
  <c r="J60" i="1" s="1"/>
  <c r="J56" i="1"/>
  <c r="M60" i="1"/>
  <c r="K56" i="1"/>
  <c r="L56" i="1" s="1"/>
  <c r="K58" i="1"/>
  <c r="L54" i="1"/>
  <c r="AC54" i="1"/>
  <c r="AB58" i="1"/>
  <c r="AB56" i="1"/>
  <c r="AC56" i="1" s="1"/>
  <c r="N56" i="1"/>
  <c r="Q56" i="1" l="1"/>
  <c r="R56" i="1" s="1"/>
  <c r="R54" i="1"/>
  <c r="Q58" i="1"/>
  <c r="K60" i="1"/>
  <c r="T42" i="1"/>
  <c r="S53" i="1"/>
  <c r="O60" i="1"/>
  <c r="AB60" i="1"/>
  <c r="AB61" i="1"/>
  <c r="V12" i="1"/>
  <c r="U42" i="1"/>
  <c r="AG54" i="1"/>
  <c r="AF58" i="1"/>
  <c r="AF56" i="1"/>
  <c r="AG56" i="1" s="1"/>
  <c r="Y54" i="1"/>
  <c r="X54" i="1"/>
  <c r="Y56" i="1" l="1"/>
  <c r="X56" i="1"/>
  <c r="S54" i="1"/>
  <c r="T53" i="1"/>
  <c r="Q60" i="1"/>
  <c r="AF60" i="1"/>
  <c r="AF61" i="1"/>
  <c r="V42" i="1"/>
  <c r="U53" i="1"/>
  <c r="U54" i="1" l="1"/>
  <c r="V53" i="1"/>
  <c r="S56" i="1"/>
  <c r="T56" i="1" s="1"/>
  <c r="T54" i="1"/>
  <c r="S58" i="1"/>
  <c r="U56" i="1" l="1"/>
  <c r="V56" i="1" s="1"/>
  <c r="U58" i="1"/>
  <c r="V54" i="1"/>
  <c r="S60" i="1"/>
  <c r="T60" i="1" s="1"/>
  <c r="T58" i="1"/>
  <c r="V58" i="1" l="1"/>
  <c r="U60" i="1"/>
  <c r="V60" i="1" s="1"/>
  <c r="I57" i="1" l="1"/>
  <c r="AA57" i="1" l="1"/>
  <c r="AG57" i="1"/>
  <c r="L57" i="1"/>
  <c r="P57" i="1"/>
  <c r="AC57" i="1"/>
  <c r="N57" i="1"/>
  <c r="AE57" i="1"/>
  <c r="R57" i="1"/>
  <c r="I58" i="1"/>
  <c r="X57" i="1" l="1"/>
  <c r="Y57" i="1"/>
  <c r="I61" i="1"/>
  <c r="I60" i="1"/>
  <c r="AE58" i="1"/>
  <c r="AA58" i="1"/>
  <c r="N58" i="1"/>
  <c r="L58" i="1"/>
  <c r="P58" i="1"/>
  <c r="AC58" i="1"/>
  <c r="R58" i="1"/>
  <c r="AG58" i="1"/>
  <c r="AE60" i="1" l="1"/>
  <c r="N60" i="1"/>
  <c r="P60" i="1"/>
  <c r="L60" i="1"/>
  <c r="AC60" i="1"/>
  <c r="AG60" i="1"/>
  <c r="R60" i="1"/>
  <c r="Z63" i="1"/>
  <c r="AD65" i="1"/>
  <c r="Z64" i="1"/>
  <c r="AF64" i="1"/>
  <c r="AB65" i="1"/>
  <c r="Z65" i="1"/>
  <c r="AD64" i="1"/>
  <c r="AD63" i="1"/>
  <c r="AF65" i="1"/>
  <c r="AB64" i="1"/>
  <c r="AB63" i="1"/>
  <c r="AF63" i="1"/>
  <c r="W60" i="1"/>
  <c r="X58" i="1"/>
  <c r="Y58" i="1"/>
  <c r="W63" i="1" l="1"/>
  <c r="X61" i="1"/>
  <c r="Y61" i="1"/>
  <c r="W65" i="1"/>
  <c r="X60" i="1"/>
  <c r="Y60" i="1"/>
</calcChain>
</file>

<file path=xl/sharedStrings.xml><?xml version="1.0" encoding="utf-8"?>
<sst xmlns="http://schemas.openxmlformats.org/spreadsheetml/2006/main" count="212" uniqueCount="154">
  <si>
    <t xml:space="preserve">Приложение </t>
  </si>
  <si>
    <t>№ п/п</t>
  </si>
  <si>
    <t>Наименование услуги</t>
  </si>
  <si>
    <t>Ед.изм.</t>
  </si>
  <si>
    <t>Распоряжение Комитета по тарифам СПб  от 18.07.2011 № 134-р</t>
  </si>
  <si>
    <t>Предложение ЖК для жилого помещения</t>
  </si>
  <si>
    <t>Отклонение,           гр. 6/гр. 4, %</t>
  </si>
  <si>
    <t>Отклонение,           гр. 5/гр. 4, %</t>
  </si>
  <si>
    <t>Предложение Управляющих компаний и обслуживающих организаций</t>
  </si>
  <si>
    <t>Отклонение,           гр. 12/гр. 4, %</t>
  </si>
  <si>
    <t>Предложение Управления</t>
  </si>
  <si>
    <t>Предложение Комитета</t>
  </si>
  <si>
    <t>с максимальным набором услуг для жилого помещения</t>
  </si>
  <si>
    <t>отклонение,           гр. 9/гр. 4, %</t>
  </si>
  <si>
    <t>Отклонение,           гр. 15/гр. 4, %</t>
  </si>
  <si>
    <t>Вариант 1                                                                                 (с сохранением суммарной величины Платы)</t>
  </si>
  <si>
    <t>Вариант 2                                                                                                                             (компромиссный,                                                                                            в рамках ИПЦ)</t>
  </si>
  <si>
    <t>Отклонение,           гр. 17/гр. 4, %</t>
  </si>
  <si>
    <t>Вариант 3                                                            (размер платы  согласно экспертизе Управления)</t>
  </si>
  <si>
    <t>Отклонение,           гр. 19/гр. 4, %</t>
  </si>
  <si>
    <t>Вариант 4                                                                                                                             (учитывающий увеличение платы за услуги ВЦКП                                                                 на 1 руб./кв.м.)</t>
  </si>
  <si>
    <t>Отклонение,           гр.21/гр. 4, %</t>
  </si>
  <si>
    <t>за 1 кв. м. общей площади жилого помещения</t>
  </si>
  <si>
    <t>за 1 кв. м. площади комнат в общежитиях</t>
  </si>
  <si>
    <t>в сопоставимых условиях для жилого помещения</t>
  </si>
  <si>
    <t>отклонение,           гр. 14/гр. 4, %</t>
  </si>
  <si>
    <t>в сопоставимых условиях для комнат в общежитиях</t>
  </si>
  <si>
    <t>отклонение,           гр. 18/гр. 4, %</t>
  </si>
  <si>
    <t>с максимальным набором услуг для комнат в общежитиях</t>
  </si>
  <si>
    <t>отклонение,           гр. 20/гр. 4, %</t>
  </si>
  <si>
    <t>ЖИЛИЩНЫЕ УСЛУГИ:</t>
  </si>
  <si>
    <t>СОДЕРЖАНИЕ И РЕМОНТ ЖИЛОГО ПОМЕЩЕНИЯ:</t>
  </si>
  <si>
    <t>1</t>
  </si>
  <si>
    <t>Управление многоквартирным домом</t>
  </si>
  <si>
    <r>
      <t>руб./м</t>
    </r>
    <r>
      <rPr>
        <b/>
        <vertAlign val="superscript"/>
        <sz val="14"/>
        <rFont val="Times New Roman"/>
        <family val="1"/>
        <charset val="204"/>
      </rPr>
      <t>2</t>
    </r>
    <r>
      <rPr>
        <b/>
        <sz val="14"/>
        <rFont val="Times New Roman"/>
        <family val="1"/>
        <charset val="204"/>
      </rPr>
      <t xml:space="preserve"> в мес.</t>
    </r>
  </si>
  <si>
    <t>1.2.</t>
  </si>
  <si>
    <t>Услуги ВЦКП</t>
  </si>
  <si>
    <r>
      <t>руб./м</t>
    </r>
    <r>
      <rPr>
        <vertAlign val="superscript"/>
        <sz val="14"/>
        <rFont val="Times New Roman"/>
        <family val="1"/>
        <charset val="204"/>
      </rPr>
      <t>2</t>
    </r>
    <r>
      <rPr>
        <sz val="14"/>
        <rFont val="Times New Roman"/>
        <family val="1"/>
        <charset val="204"/>
      </rPr>
      <t xml:space="preserve"> в мес.</t>
    </r>
  </si>
  <si>
    <t>2</t>
  </si>
  <si>
    <t>Содержание общего имущества в многоквартирном доме, в т.ч.:</t>
  </si>
  <si>
    <t>2.1</t>
  </si>
  <si>
    <t>Техническое обслуживание общего имущества</t>
  </si>
  <si>
    <t>2.1.1</t>
  </si>
  <si>
    <t>технические осмотры</t>
  </si>
  <si>
    <t>2.1.2</t>
  </si>
  <si>
    <t>работы и услуги по договорам со специализированными организациями</t>
  </si>
  <si>
    <t>2.1.3</t>
  </si>
  <si>
    <t>услуги аварийного обслуживания</t>
  </si>
  <si>
    <t>2.1.4</t>
  </si>
  <si>
    <t>работы по подготовке домов к сезонной эксплуатации</t>
  </si>
  <si>
    <t>2.1.5</t>
  </si>
  <si>
    <t>услуги по заявочному ремонту</t>
  </si>
  <si>
    <t>добавлен в п. 2.1.3</t>
  </si>
  <si>
    <t>2.1.6</t>
  </si>
  <si>
    <t>услуги по дератизации</t>
  </si>
  <si>
    <t>2.1.7</t>
  </si>
  <si>
    <t>услуги по обследованию аварийных квартир</t>
  </si>
  <si>
    <t>2.1.8</t>
  </si>
  <si>
    <t>услуги по помывке фасадов</t>
  </si>
  <si>
    <t>2.2</t>
  </si>
  <si>
    <t>Очистка кровли от наледи и уборка снега</t>
  </si>
  <si>
    <t>2.2.1</t>
  </si>
  <si>
    <t>- очистка кровли от наледи</t>
  </si>
  <si>
    <t>2.2.2</t>
  </si>
  <si>
    <t>- уборка и вывоз снега</t>
  </si>
  <si>
    <t>2.3</t>
  </si>
  <si>
    <t>Уборка лестничных клеток</t>
  </si>
  <si>
    <t>2.4</t>
  </si>
  <si>
    <t>Вывоз мусора</t>
  </si>
  <si>
    <t>2.4.1</t>
  </si>
  <si>
    <t>вывоз твердых бытовых отходов</t>
  </si>
  <si>
    <t>2.4.2</t>
  </si>
  <si>
    <t>утилизация (захоронение) твердых бытовых отходов</t>
  </si>
  <si>
    <t>3</t>
  </si>
  <si>
    <t>Текущий ремонт общего имущества в многоквартирном доме</t>
  </si>
  <si>
    <t>4</t>
  </si>
  <si>
    <t>Уборка и санитарно-гигиеническая очистка земельного участка, входящего в состав общего имущества, содержание и уход за элементами озеленения, находящимися на земельном участке, входящем в состав общего имущества, а также иными объектами, расположенными на земельном участке, предназначенными для обслуживания, эксплуатации и благоустройства этого многоквартирного дома</t>
  </si>
  <si>
    <t>5</t>
  </si>
  <si>
    <t>Очистка мусоропроводов</t>
  </si>
  <si>
    <t>6</t>
  </si>
  <si>
    <t>Содержание и ремонт переговорно-замочного устройства (автоматически запирающегося устройства двери подъезда)</t>
  </si>
  <si>
    <t>7</t>
  </si>
  <si>
    <t>Содержание и ремонт систем автоматизированной противопожарной защиты</t>
  </si>
  <si>
    <t>8</t>
  </si>
  <si>
    <t>Содержание и текущий ремонт внутридомовых инженерных систем газоснабжения</t>
  </si>
  <si>
    <t>9</t>
  </si>
  <si>
    <t>Обслуживание общедомовых узлов учета (без приборов учета газа)</t>
  </si>
  <si>
    <t>9.1</t>
  </si>
  <si>
    <t>обслуживание общедомовых узлов учета тепловой энергии и ГВС</t>
  </si>
  <si>
    <t>9.2</t>
  </si>
  <si>
    <t xml:space="preserve">обслуживание общедомового узла учета ХВС </t>
  </si>
  <si>
    <t>9.3</t>
  </si>
  <si>
    <t>обслуживание общедомового узла учета электрической энергии</t>
  </si>
  <si>
    <t>9.4</t>
  </si>
  <si>
    <t>обслуживание общедомового узла учета природного газа</t>
  </si>
  <si>
    <t>10</t>
  </si>
  <si>
    <t>Содержание и текущий ремонт систем экстренного оповещения населения об угрозе возникновения или о возникновении чрезвычайных ситуаций</t>
  </si>
  <si>
    <t>ИТОГО без платы за лифты и капитальный ремонт (на одного человека)</t>
  </si>
  <si>
    <r>
      <t>руб./м</t>
    </r>
    <r>
      <rPr>
        <b/>
        <vertAlign val="superscript"/>
        <sz val="16"/>
        <rFont val="Times New Roman"/>
        <family val="1"/>
        <charset val="204"/>
      </rPr>
      <t>2</t>
    </r>
    <r>
      <rPr>
        <b/>
        <sz val="16"/>
        <rFont val="Times New Roman"/>
        <family val="1"/>
        <charset val="204"/>
      </rPr>
      <t xml:space="preserve"> в мес.</t>
    </r>
  </si>
  <si>
    <t>11</t>
  </si>
  <si>
    <r>
      <t>Базовая стоимость технического обслуживания и ремонта одного лифта для 9</t>
    </r>
    <r>
      <rPr>
        <vertAlign val="superscript"/>
        <sz val="14"/>
        <rFont val="Times New Roman"/>
        <family val="1"/>
        <charset val="204"/>
      </rPr>
      <t>ти</t>
    </r>
    <r>
      <rPr>
        <sz val="14"/>
        <rFont val="Times New Roman"/>
        <family val="1"/>
        <charset val="204"/>
      </rPr>
      <t xml:space="preserve"> этажных домов</t>
    </r>
  </si>
  <si>
    <t>Техническое и аварийное обслуживание, текущий ремонт</t>
  </si>
  <si>
    <t>Техническое освидетельствование</t>
  </si>
  <si>
    <t>Содержание и ремонт системы диспетчерского контроля и обеспечение диспетчерской связи с кабиной лифта</t>
  </si>
  <si>
    <t>Страхование лифтов</t>
  </si>
  <si>
    <r>
      <t>ИТОГО без платы за капитальный ремонт (на одного человека за 1 м</t>
    </r>
    <r>
      <rPr>
        <b/>
        <vertAlign val="superscript"/>
        <sz val="16"/>
        <rFont val="Times New Roman"/>
        <family val="1"/>
        <charset val="204"/>
      </rPr>
      <t>2</t>
    </r>
    <r>
      <rPr>
        <b/>
        <sz val="16"/>
        <rFont val="Times New Roman"/>
        <family val="1"/>
        <charset val="204"/>
      </rPr>
      <t xml:space="preserve"> )</t>
    </r>
  </si>
  <si>
    <r>
      <t>ИТОГО без платы за капитальный ремонт (на одного человека за 24 м</t>
    </r>
    <r>
      <rPr>
        <b/>
        <vertAlign val="superscript"/>
        <sz val="16"/>
        <rFont val="Times New Roman"/>
        <family val="1"/>
        <charset val="204"/>
      </rPr>
      <t>2</t>
    </r>
    <r>
      <rPr>
        <b/>
        <sz val="16"/>
        <rFont val="Times New Roman"/>
        <family val="1"/>
        <charset val="204"/>
      </rPr>
      <t xml:space="preserve"> )</t>
    </r>
  </si>
  <si>
    <t>руб./чел в мес.</t>
  </si>
  <si>
    <t>13</t>
  </si>
  <si>
    <r>
      <t>Плата за наем *(3,07 руб./м</t>
    </r>
    <r>
      <rPr>
        <b/>
        <vertAlign val="superscript"/>
        <sz val="16"/>
        <rFont val="Times New Roman"/>
        <family val="1"/>
        <charset val="204"/>
      </rPr>
      <t>2</t>
    </r>
    <r>
      <rPr>
        <b/>
        <sz val="16"/>
        <rFont val="Times New Roman"/>
        <family val="1"/>
        <charset val="204"/>
      </rPr>
      <t>)</t>
    </r>
  </si>
  <si>
    <r>
      <t>руб./м</t>
    </r>
    <r>
      <rPr>
        <b/>
        <vertAlign val="superscript"/>
        <sz val="16"/>
        <rFont val="Times New Roman"/>
        <family val="1"/>
        <charset val="204"/>
      </rPr>
      <t>2</t>
    </r>
  </si>
  <si>
    <t>ИТОГО за ЖИЛИЩНЫЕ УСЛУГИ                                                                                                         (включая плату за наем, без платы за капитальный ремонт)</t>
  </si>
  <si>
    <t>руб./чел.</t>
  </si>
  <si>
    <t>14</t>
  </si>
  <si>
    <t>КОММУНАЛЬНЫЕ УСЛУГИ**:</t>
  </si>
  <si>
    <t>ИТОГО ЗА ЖИЛИЩНЫЕ И КОММУНАЛЬНЫЕ УСЛУГИ                                                                                           (включая плату за наем, без платы за капитальный ремонт)</t>
  </si>
  <si>
    <t>15</t>
  </si>
  <si>
    <r>
      <t>руб./м</t>
    </r>
    <r>
      <rPr>
        <b/>
        <vertAlign val="superscript"/>
        <sz val="16"/>
        <color rgb="FFFF0000"/>
        <rFont val="Times New Roman"/>
        <family val="1"/>
        <charset val="204"/>
      </rPr>
      <t>2</t>
    </r>
    <r>
      <rPr>
        <b/>
        <sz val="16"/>
        <color rgb="FFFF0000"/>
        <rFont val="Times New Roman"/>
        <family val="1"/>
        <charset val="204"/>
      </rPr>
      <t xml:space="preserve"> в мес.</t>
    </r>
  </si>
  <si>
    <t>руб. в мес.</t>
  </si>
  <si>
    <t>Плата за капитальный ремонт ***</t>
  </si>
  <si>
    <t>16</t>
  </si>
  <si>
    <r>
      <t>Прирост платы  ЗА ЖИЛИЩНЫЕ И КОММУНАЛЬНЫЕ УСЛУГИ                                                                                           (включая плату за наем, без платы за капитальный ремонт)                                                                            (на одного человека за 1 м</t>
    </r>
    <r>
      <rPr>
        <b/>
        <i/>
        <vertAlign val="superscript"/>
        <sz val="16"/>
        <rFont val="Times New Roman"/>
        <family val="1"/>
        <charset val="204"/>
      </rPr>
      <t>2</t>
    </r>
    <r>
      <rPr>
        <b/>
        <i/>
        <sz val="16"/>
        <rFont val="Times New Roman"/>
        <family val="1"/>
        <charset val="204"/>
      </rPr>
      <t xml:space="preserve"> )</t>
    </r>
  </si>
  <si>
    <t>17</t>
  </si>
  <si>
    <t>Федеральный стандарт предельной стоимости предоставляемых жилищно-коммунальных услуг на 1 кв.м. общей площади жилья в месяц на 2015 год</t>
  </si>
  <si>
    <t>Разница между  величиной платы за жилищные и коммунальные услуги на одного человека на 1 кв.м и установленным Федеральным стандартом на 2015 год</t>
  </si>
  <si>
    <t>Примечание:</t>
  </si>
  <si>
    <t>***  Плата за капитальный ремонт указана для категории многоквартирных домов  категории "Панельные "новое строительство", постройки после 1980 г."  согласно Постановлению Правительства Санкт-Петербурга от 22.12.2014 № 1205</t>
  </si>
  <si>
    <t>СВЕДЕНИЯ О ПРЕДОСТАВЛЕНИИ ГРАЖДАНАМ СОЦИАЛЬНОЙ ПОДДЕРЖКИ ПО ОПЛАТЕ ЖИЛОГО ПОМЕЩЕНИЯ И КОММУНАЛЬНЫХ УСЛУГ</t>
  </si>
  <si>
    <t>Период</t>
  </si>
  <si>
    <t>Количество семей, получающих  субсидии на оплату жилого помещения и коммунальных услуг, ед.</t>
  </si>
  <si>
    <t>Отклонение от предыдущего периода, %</t>
  </si>
  <si>
    <t>по состоянию на декабрь 2012 года</t>
  </si>
  <si>
    <t>по состоянию на декабрь 2013 года</t>
  </si>
  <si>
    <t>по состоянию на декабрь 2014 года</t>
  </si>
  <si>
    <t>** Указана  плата за коммунальные услуги за 1-ое и 2-ое полугодия 2015 года,  рассчитанная для характерной квартиры площадью 18 кв.м.</t>
  </si>
  <si>
    <r>
      <t>* Площадь жилого помещения на человека - 18 м</t>
    </r>
    <r>
      <rPr>
        <b/>
        <vertAlign val="superscript"/>
        <sz val="18"/>
        <rFont val="Times New Roman"/>
        <family val="1"/>
        <charset val="204"/>
      </rPr>
      <t xml:space="preserve">2 </t>
    </r>
    <r>
      <rPr>
        <b/>
        <sz val="18"/>
        <rFont val="Times New Roman"/>
        <family val="1"/>
        <charset val="204"/>
      </rPr>
      <t>- согласно Федеральному стандарту социальной нормы площади жилого помещения (постановление Правительства Российской Федерации от 29.08.2005 № 541)</t>
    </r>
  </si>
  <si>
    <t>2.5</t>
  </si>
  <si>
    <t>Текущий ремонт лифтов</t>
  </si>
  <si>
    <t>ИТОГО ВЕЛИЧИНА  ЗА ЖИЛИЩНЫЕ И КОММУНАЛЬНЫЕ УСЛУГИ                                                                                           (включая плату за наем, без платы за капитальный ремонт) (на одного человека за 1 м2 )</t>
  </si>
  <si>
    <t>Содержание и ремонт лифтов, в том числе:</t>
  </si>
  <si>
    <t>11.1</t>
  </si>
  <si>
    <t>11.2</t>
  </si>
  <si>
    <t>11.3</t>
  </si>
  <si>
    <t>11.4</t>
  </si>
  <si>
    <t>11.5</t>
  </si>
  <si>
    <t>11.6</t>
  </si>
  <si>
    <t>11.7</t>
  </si>
  <si>
    <t>11.8</t>
  </si>
  <si>
    <t>Проведение осмотров и техническое обслуживание  лифтов</t>
  </si>
  <si>
    <t>Проведение ежегодного технического освидетельствования лифтов</t>
  </si>
  <si>
    <t>Вариант                                                                                                                 (с сохранением суммарной величины Платы)</t>
  </si>
  <si>
    <r>
      <t>Разница,                                                                    гр. 5-гр. 4,  руб./м</t>
    </r>
    <r>
      <rPr>
        <vertAlign val="superscript"/>
        <sz val="14"/>
        <rFont val="Times New Roman"/>
        <family val="1"/>
        <charset val="204"/>
      </rPr>
      <t>2</t>
    </r>
  </si>
  <si>
    <r>
      <t>Величина Федерального стандарта предельной стоимости предоставляемых жилищно-коммунальных услуг на 1 кв.м. общей площади жилья в месяц на 2015 год составляет</t>
    </r>
    <r>
      <rPr>
        <b/>
        <sz val="18"/>
        <rFont val="Times New Roman"/>
        <family val="1"/>
        <charset val="204"/>
      </rPr>
      <t xml:space="preserve">    119,5 руб./м</t>
    </r>
    <r>
      <rPr>
        <b/>
        <vertAlign val="superscript"/>
        <sz val="18"/>
        <rFont val="Times New Roman"/>
        <family val="1"/>
        <charset val="204"/>
      </rPr>
      <t>2</t>
    </r>
    <r>
      <rPr>
        <b/>
        <sz val="18"/>
        <rFont val="Times New Roman"/>
        <family val="1"/>
        <charset val="204"/>
      </rPr>
      <t xml:space="preserve"> </t>
    </r>
    <r>
      <rPr>
        <sz val="18"/>
        <rFont val="Times New Roman"/>
        <family val="1"/>
        <charset val="204"/>
      </rPr>
      <t>(постановление Правительства РФ от 24.12.2014 № 1464)</t>
    </r>
  </si>
  <si>
    <t>Предложение Комитета по тарифам Санкт-Петербурга по изменению размера платы за содержание и ремонт жилого помещения, установленного для нанимателей государственного жилищного фонда Санкт-Петербурга                                      на 2015 год.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</si>
</sst>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6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26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28"/>
      <color theme="1"/>
      <name val="Times New Roman"/>
      <family val="1"/>
      <charset val="204"/>
    </font>
    <font>
      <vertAlign val="superscript"/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b/>
      <i/>
      <sz val="18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14"/>
      <color theme="0"/>
      <name val="Times New Roman"/>
      <family val="1"/>
      <charset val="204"/>
    </font>
    <font>
      <b/>
      <vertAlign val="superscript"/>
      <sz val="14"/>
      <name val="Times New Roman"/>
      <family val="1"/>
      <charset val="204"/>
    </font>
    <font>
      <i/>
      <sz val="16"/>
      <name val="Times New Roman"/>
      <family val="1"/>
      <charset val="204"/>
    </font>
    <font>
      <b/>
      <i/>
      <sz val="20"/>
      <name val="Times New Roman"/>
      <family val="1"/>
      <charset val="204"/>
    </font>
    <font>
      <sz val="20"/>
      <name val="Times New Roman"/>
      <family val="1"/>
      <charset val="204"/>
    </font>
    <font>
      <i/>
      <sz val="18"/>
      <name val="Times New Roman"/>
      <family val="1"/>
      <charset val="204"/>
    </font>
    <font>
      <sz val="18"/>
      <name val="Times New Roman"/>
      <family val="1"/>
      <charset val="204"/>
    </font>
    <font>
      <b/>
      <sz val="16"/>
      <name val="Times New Roman"/>
      <family val="1"/>
      <charset val="204"/>
    </font>
    <font>
      <i/>
      <sz val="14"/>
      <name val="Times New Roman"/>
      <family val="1"/>
      <charset val="204"/>
    </font>
    <font>
      <sz val="16"/>
      <name val="Times New Roman"/>
      <family val="1"/>
      <charset val="204"/>
    </font>
    <font>
      <b/>
      <i/>
      <sz val="16"/>
      <name val="Times New Roman"/>
      <family val="1"/>
      <charset val="204"/>
    </font>
    <font>
      <i/>
      <sz val="2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4"/>
      <color rgb="FFFF0000"/>
      <name val="Times New Roman"/>
      <family val="1"/>
      <charset val="204"/>
    </font>
    <font>
      <b/>
      <sz val="20"/>
      <color rgb="FFC00000"/>
      <name val="Times New Roman"/>
      <family val="1"/>
      <charset val="204"/>
    </font>
    <font>
      <i/>
      <sz val="16"/>
      <color rgb="FFC00000"/>
      <name val="Times New Roman"/>
      <family val="1"/>
      <charset val="204"/>
    </font>
    <font>
      <b/>
      <i/>
      <sz val="16"/>
      <color rgb="FFC00000"/>
      <name val="Times New Roman"/>
      <family val="1"/>
      <charset val="204"/>
    </font>
    <font>
      <b/>
      <sz val="20"/>
      <color rgb="FFFF0000"/>
      <name val="Times New Roman"/>
      <family val="1"/>
      <charset val="204"/>
    </font>
    <font>
      <b/>
      <sz val="16"/>
      <color rgb="FFC00000"/>
      <name val="Times New Roman"/>
      <family val="1"/>
      <charset val="204"/>
    </font>
    <font>
      <b/>
      <vertAlign val="superscript"/>
      <sz val="16"/>
      <name val="Times New Roman"/>
      <family val="1"/>
      <charset val="204"/>
    </font>
    <font>
      <b/>
      <sz val="24"/>
      <name val="Times New Roman"/>
      <family val="1"/>
      <charset val="204"/>
    </font>
    <font>
      <i/>
      <sz val="24"/>
      <name val="Times New Roman"/>
      <family val="1"/>
      <charset val="204"/>
    </font>
    <font>
      <b/>
      <sz val="14"/>
      <color rgb="FFC00000"/>
      <name val="Times New Roman"/>
      <family val="1"/>
      <charset val="204"/>
    </font>
    <font>
      <b/>
      <sz val="16"/>
      <color rgb="FFFF0000"/>
      <name val="Times New Roman"/>
      <family val="1"/>
      <charset val="204"/>
    </font>
    <font>
      <b/>
      <vertAlign val="superscript"/>
      <sz val="16"/>
      <color rgb="FFFF0000"/>
      <name val="Times New Roman"/>
      <family val="1"/>
      <charset val="204"/>
    </font>
    <font>
      <sz val="14"/>
      <color rgb="FFFF0000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b/>
      <i/>
      <vertAlign val="superscript"/>
      <sz val="16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Arial Cyr"/>
      <charset val="204"/>
    </font>
    <font>
      <b/>
      <sz val="20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1"/>
      <color theme="0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0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22"/>
      <color theme="1"/>
      <name val="Times New Roman"/>
      <family val="1"/>
      <charset val="204"/>
    </font>
    <font>
      <b/>
      <sz val="9"/>
      <name val="Tahoma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b/>
      <vertAlign val="superscript"/>
      <sz val="18"/>
      <name val="Times New Roman"/>
      <family val="1"/>
      <charset val="204"/>
    </font>
    <font>
      <sz val="28"/>
      <color theme="1"/>
      <name val="Times New Roman"/>
      <family val="1"/>
      <charset val="204"/>
    </font>
    <font>
      <sz val="14"/>
      <color rgb="FFFF0000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9" tint="0.79998168889431442"/>
        <bgColor indexed="64"/>
      </patternFill>
    </fill>
  </fills>
  <borders count="6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0">
    <xf numFmtId="0" fontId="0" fillId="0" borderId="0"/>
    <xf numFmtId="9" fontId="1" fillId="0" borderId="0" applyFont="0" applyFill="0" applyBorder="0" applyAlignment="0" applyProtection="0"/>
    <xf numFmtId="0" fontId="55" fillId="0" borderId="11" applyBorder="0">
      <alignment horizontal="center" vertical="center" wrapText="1"/>
    </xf>
    <xf numFmtId="0" fontId="56" fillId="0" borderId="0"/>
    <xf numFmtId="0" fontId="57" fillId="0" borderId="0"/>
    <xf numFmtId="0" fontId="58" fillId="0" borderId="0"/>
    <xf numFmtId="0" fontId="56" fillId="0" borderId="0"/>
    <xf numFmtId="0" fontId="58" fillId="0" borderId="0"/>
    <xf numFmtId="9" fontId="56" fillId="0" borderId="0" applyFont="0" applyFill="0" applyBorder="0" applyAlignment="0" applyProtection="0"/>
    <xf numFmtId="0" fontId="57" fillId="0" borderId="0"/>
  </cellStyleXfs>
  <cellXfs count="543">
    <xf numFmtId="0" fontId="0" fillId="0" borderId="0" xfId="0"/>
    <xf numFmtId="4" fontId="0" fillId="0" borderId="0" xfId="0" applyNumberFormat="1" applyFont="1"/>
    <xf numFmtId="2" fontId="5" fillId="0" borderId="0" xfId="0" applyNumberFormat="1" applyFont="1"/>
    <xf numFmtId="0" fontId="5" fillId="0" borderId="0" xfId="0" applyFont="1"/>
    <xf numFmtId="2" fontId="5" fillId="0" borderId="0" xfId="0" applyNumberFormat="1" applyFont="1" applyBorder="1"/>
    <xf numFmtId="0" fontId="8" fillId="0" borderId="18" xfId="0" applyFont="1" applyFill="1" applyBorder="1" applyAlignment="1">
      <alignment vertical="center" wrapText="1"/>
    </xf>
    <xf numFmtId="0" fontId="8" fillId="0" borderId="19" xfId="0" applyFont="1" applyFill="1" applyBorder="1" applyAlignment="1">
      <alignment vertical="center" wrapText="1"/>
    </xf>
    <xf numFmtId="2" fontId="5" fillId="0" borderId="20" xfId="0" applyNumberFormat="1" applyFont="1" applyBorder="1"/>
    <xf numFmtId="0" fontId="8" fillId="0" borderId="21" xfId="0" applyFont="1" applyFill="1" applyBorder="1" applyAlignment="1">
      <alignment horizontal="center" vertical="center" wrapText="1"/>
    </xf>
    <xf numFmtId="0" fontId="8" fillId="0" borderId="26" xfId="0" applyFont="1" applyFill="1" applyBorder="1" applyAlignment="1">
      <alignment horizontal="center" vertical="center" wrapText="1"/>
    </xf>
    <xf numFmtId="0" fontId="8" fillId="0" borderId="22" xfId="0" applyFont="1" applyFill="1" applyBorder="1" applyAlignment="1">
      <alignment horizontal="center" vertical="center" wrapText="1"/>
    </xf>
    <xf numFmtId="0" fontId="11" fillId="0" borderId="14" xfId="0" applyFont="1" applyFill="1" applyBorder="1" applyAlignment="1">
      <alignment horizontal="center" vertical="center" wrapText="1"/>
    </xf>
    <xf numFmtId="0" fontId="12" fillId="0" borderId="16" xfId="0" applyFont="1" applyFill="1" applyBorder="1" applyAlignment="1">
      <alignment horizontal="center" vertical="center" wrapText="1"/>
    </xf>
    <xf numFmtId="0" fontId="12" fillId="0" borderId="40" xfId="0" applyFont="1" applyFill="1" applyBorder="1" applyAlignment="1">
      <alignment horizontal="center" vertical="center" wrapText="1"/>
    </xf>
    <xf numFmtId="0" fontId="12" fillId="0" borderId="14" xfId="0" applyFont="1" applyFill="1" applyBorder="1" applyAlignment="1">
      <alignment horizontal="center" vertical="center" wrapText="1"/>
    </xf>
    <xf numFmtId="0" fontId="12" fillId="0" borderId="41" xfId="0" applyFont="1" applyFill="1" applyBorder="1" applyAlignment="1">
      <alignment horizontal="center" vertical="center" wrapText="1"/>
    </xf>
    <xf numFmtId="0" fontId="12" fillId="0" borderId="17" xfId="0" applyFont="1" applyFill="1" applyBorder="1" applyAlignment="1">
      <alignment horizontal="center" vertical="center" wrapText="1"/>
    </xf>
    <xf numFmtId="0" fontId="12" fillId="0" borderId="18" xfId="0" applyFont="1" applyFill="1" applyBorder="1" applyAlignment="1">
      <alignment horizontal="center" vertical="center" wrapText="1"/>
    </xf>
    <xf numFmtId="0" fontId="12" fillId="0" borderId="19" xfId="0" applyFont="1" applyFill="1" applyBorder="1" applyAlignment="1">
      <alignment horizontal="center" vertical="center" wrapText="1"/>
    </xf>
    <xf numFmtId="2" fontId="13" fillId="0" borderId="0" xfId="0" applyNumberFormat="1" applyFont="1" applyBorder="1"/>
    <xf numFmtId="2" fontId="13" fillId="0" borderId="0" xfId="0" applyNumberFormat="1" applyFont="1"/>
    <xf numFmtId="0" fontId="3" fillId="0" borderId="0" xfId="0" applyFont="1"/>
    <xf numFmtId="49" fontId="8" fillId="0" borderId="52" xfId="0" applyNumberFormat="1" applyFont="1" applyFill="1" applyBorder="1" applyAlignment="1">
      <alignment horizontal="center" vertical="center"/>
    </xf>
    <xf numFmtId="0" fontId="8" fillId="0" borderId="44" xfId="0" applyFont="1" applyFill="1" applyBorder="1" applyAlignment="1">
      <alignment horizontal="left" vertical="center" wrapText="1"/>
    </xf>
    <xf numFmtId="4" fontId="16" fillId="0" borderId="53" xfId="0" applyNumberFormat="1" applyFont="1" applyFill="1" applyBorder="1" applyAlignment="1">
      <alignment horizontal="center" vertical="center"/>
    </xf>
    <xf numFmtId="4" fontId="16" fillId="0" borderId="44" xfId="0" applyNumberFormat="1" applyFont="1" applyFill="1" applyBorder="1" applyAlignment="1">
      <alignment horizontal="center" vertical="center"/>
    </xf>
    <xf numFmtId="4" fontId="16" fillId="0" borderId="52" xfId="0" applyNumberFormat="1" applyFont="1" applyFill="1" applyBorder="1" applyAlignment="1">
      <alignment horizontal="center" vertical="center"/>
    </xf>
    <xf numFmtId="4" fontId="16" fillId="0" borderId="54" xfId="0" applyNumberFormat="1" applyFont="1" applyFill="1" applyBorder="1" applyAlignment="1">
      <alignment horizontal="center" vertical="center"/>
    </xf>
    <xf numFmtId="4" fontId="16" fillId="0" borderId="45" xfId="0" applyNumberFormat="1" applyFont="1" applyFill="1" applyBorder="1" applyAlignment="1">
      <alignment horizontal="center" vertical="center"/>
    </xf>
    <xf numFmtId="164" fontId="16" fillId="0" borderId="44" xfId="0" applyNumberFormat="1" applyFont="1" applyFill="1" applyBorder="1" applyAlignment="1">
      <alignment horizontal="center" vertical="center"/>
    </xf>
    <xf numFmtId="4" fontId="16" fillId="0" borderId="43" xfId="0" applyNumberFormat="1" applyFont="1" applyFill="1" applyBorder="1" applyAlignment="1">
      <alignment horizontal="center" vertical="center"/>
    </xf>
    <xf numFmtId="49" fontId="8" fillId="0" borderId="46" xfId="0" applyNumberFormat="1" applyFont="1" applyFill="1" applyBorder="1" applyAlignment="1">
      <alignment horizontal="center" vertical="center"/>
    </xf>
    <xf numFmtId="0" fontId="17" fillId="0" borderId="47" xfId="0" applyFont="1" applyFill="1" applyBorder="1" applyAlignment="1">
      <alignment horizontal="left" vertical="center" wrapText="1"/>
    </xf>
    <xf numFmtId="10" fontId="15" fillId="0" borderId="49" xfId="1" applyNumberFormat="1" applyFont="1" applyFill="1" applyBorder="1" applyAlignment="1">
      <alignment horizontal="center" vertical="center"/>
    </xf>
    <xf numFmtId="10" fontId="15" fillId="0" borderId="47" xfId="1" applyNumberFormat="1" applyFont="1" applyFill="1" applyBorder="1" applyAlignment="1">
      <alignment horizontal="center" vertical="center"/>
    </xf>
    <xf numFmtId="10" fontId="15" fillId="0" borderId="46" xfId="1" applyNumberFormat="1" applyFont="1" applyFill="1" applyBorder="1" applyAlignment="1">
      <alignment horizontal="center" vertical="center"/>
    </xf>
    <xf numFmtId="10" fontId="15" fillId="0" borderId="51" xfId="1" applyNumberFormat="1" applyFont="1" applyFill="1" applyBorder="1" applyAlignment="1">
      <alignment horizontal="center" vertical="center"/>
    </xf>
    <xf numFmtId="10" fontId="15" fillId="0" borderId="50" xfId="1" applyNumberFormat="1" applyFont="1" applyFill="1" applyBorder="1" applyAlignment="1">
      <alignment horizontal="center" vertical="center"/>
    </xf>
    <xf numFmtId="4" fontId="15" fillId="0" borderId="43" xfId="1" applyNumberFormat="1" applyFont="1" applyFill="1" applyBorder="1" applyAlignment="1">
      <alignment horizontal="center" vertical="center"/>
    </xf>
    <xf numFmtId="164" fontId="15" fillId="0" borderId="47" xfId="1" applyNumberFormat="1" applyFont="1" applyFill="1" applyBorder="1" applyAlignment="1">
      <alignment horizontal="center" vertical="center"/>
    </xf>
    <xf numFmtId="4" fontId="15" fillId="0" borderId="47" xfId="1" applyNumberFormat="1" applyFont="1" applyFill="1" applyBorder="1" applyAlignment="1">
      <alignment horizontal="center" vertical="center"/>
    </xf>
    <xf numFmtId="4" fontId="15" fillId="0" borderId="50" xfId="1" applyNumberFormat="1" applyFont="1" applyFill="1" applyBorder="1" applyAlignment="1">
      <alignment horizontal="center" vertical="center"/>
    </xf>
    <xf numFmtId="4" fontId="15" fillId="0" borderId="49" xfId="1" applyNumberFormat="1" applyFont="1" applyFill="1" applyBorder="1" applyAlignment="1">
      <alignment horizontal="center" vertical="center"/>
    </xf>
    <xf numFmtId="49" fontId="8" fillId="3" borderId="46" xfId="0" applyNumberFormat="1" applyFont="1" applyFill="1" applyBorder="1" applyAlignment="1">
      <alignment horizontal="center" vertical="center"/>
    </xf>
    <xf numFmtId="0" fontId="8" fillId="3" borderId="47" xfId="0" applyFont="1" applyFill="1" applyBorder="1" applyAlignment="1">
      <alignment horizontal="center" vertical="center" wrapText="1"/>
    </xf>
    <xf numFmtId="4" fontId="15" fillId="3" borderId="46" xfId="0" applyNumberFormat="1" applyFont="1" applyFill="1" applyBorder="1" applyAlignment="1">
      <alignment horizontal="center" vertical="center"/>
    </xf>
    <xf numFmtId="4" fontId="15" fillId="3" borderId="50" xfId="0" applyNumberFormat="1" applyFont="1" applyFill="1" applyBorder="1" applyAlignment="1">
      <alignment horizontal="center" vertical="center"/>
    </xf>
    <xf numFmtId="4" fontId="15" fillId="3" borderId="49" xfId="0" applyNumberFormat="1" applyFont="1" applyFill="1" applyBorder="1" applyAlignment="1">
      <alignment horizontal="center" vertical="center"/>
    </xf>
    <xf numFmtId="10" fontId="19" fillId="3" borderId="47" xfId="1" applyNumberFormat="1" applyFont="1" applyFill="1" applyBorder="1" applyAlignment="1">
      <alignment horizontal="center" vertical="center"/>
    </xf>
    <xf numFmtId="4" fontId="15" fillId="3" borderId="51" xfId="0" applyNumberFormat="1" applyFont="1" applyFill="1" applyBorder="1" applyAlignment="1">
      <alignment horizontal="center" vertical="center"/>
    </xf>
    <xf numFmtId="164" fontId="19" fillId="3" borderId="50" xfId="1" applyNumberFormat="1" applyFont="1" applyFill="1" applyBorder="1" applyAlignment="1">
      <alignment horizontal="center" vertical="center"/>
    </xf>
    <xf numFmtId="4" fontId="15" fillId="3" borderId="43" xfId="1" applyNumberFormat="1" applyFont="1" applyFill="1" applyBorder="1" applyAlignment="1">
      <alignment horizontal="center" vertical="center"/>
    </xf>
    <xf numFmtId="164" fontId="19" fillId="3" borderId="47" xfId="1" applyNumberFormat="1" applyFont="1" applyFill="1" applyBorder="1" applyAlignment="1">
      <alignment horizontal="center" vertical="center"/>
    </xf>
    <xf numFmtId="10" fontId="19" fillId="3" borderId="51" xfId="1" applyNumberFormat="1" applyFont="1" applyFill="1" applyBorder="1" applyAlignment="1">
      <alignment horizontal="center" vertical="center"/>
    </xf>
    <xf numFmtId="164" fontId="20" fillId="3" borderId="47" xfId="1" applyNumberFormat="1" applyFont="1" applyFill="1" applyBorder="1" applyAlignment="1">
      <alignment horizontal="center" vertical="center"/>
    </xf>
    <xf numFmtId="4" fontId="15" fillId="3" borderId="50" xfId="1" applyNumberFormat="1" applyFont="1" applyFill="1" applyBorder="1" applyAlignment="1">
      <alignment horizontal="center" vertical="center"/>
    </xf>
    <xf numFmtId="4" fontId="15" fillId="3" borderId="49" xfId="1" applyNumberFormat="1" applyFont="1" applyFill="1" applyBorder="1" applyAlignment="1">
      <alignment horizontal="center" vertical="center"/>
    </xf>
    <xf numFmtId="0" fontId="8" fillId="3" borderId="47" xfId="0" applyFont="1" applyFill="1" applyBorder="1" applyAlignment="1">
      <alignment horizontal="left" vertical="center" wrapText="1"/>
    </xf>
    <xf numFmtId="0" fontId="10" fillId="3" borderId="48" xfId="0" applyFont="1" applyFill="1" applyBorder="1" applyAlignment="1">
      <alignment horizontal="left" vertical="center" wrapText="1"/>
    </xf>
    <xf numFmtId="0" fontId="10" fillId="3" borderId="49" xfId="0" applyFont="1" applyFill="1" applyBorder="1" applyAlignment="1">
      <alignment horizontal="left" vertical="center" wrapText="1"/>
    </xf>
    <xf numFmtId="0" fontId="10" fillId="3" borderId="47" xfId="0" applyFont="1" applyFill="1" applyBorder="1" applyAlignment="1">
      <alignment horizontal="center" vertical="center" wrapText="1"/>
    </xf>
    <xf numFmtId="4" fontId="21" fillId="3" borderId="46" xfId="0" applyNumberFormat="1" applyFont="1" applyFill="1" applyBorder="1" applyAlignment="1">
      <alignment horizontal="center" vertical="center"/>
    </xf>
    <xf numFmtId="4" fontId="21" fillId="3" borderId="49" xfId="0" applyNumberFormat="1" applyFont="1" applyFill="1" applyBorder="1" applyAlignment="1">
      <alignment horizontal="center" vertical="center"/>
    </xf>
    <xf numFmtId="4" fontId="21" fillId="3" borderId="51" xfId="0" applyNumberFormat="1" applyFont="1" applyFill="1" applyBorder="1" applyAlignment="1">
      <alignment horizontal="center" vertical="center"/>
    </xf>
    <xf numFmtId="4" fontId="15" fillId="3" borderId="47" xfId="1" applyNumberFormat="1" applyFont="1" applyFill="1" applyBorder="1" applyAlignment="1">
      <alignment horizontal="center" vertical="center"/>
    </xf>
    <xf numFmtId="4" fontId="21" fillId="3" borderId="49" xfId="1" applyNumberFormat="1" applyFont="1" applyFill="1" applyBorder="1" applyAlignment="1">
      <alignment horizontal="center" vertical="center"/>
    </xf>
    <xf numFmtId="0" fontId="0" fillId="0" borderId="0" xfId="0" applyFont="1"/>
    <xf numFmtId="0" fontId="8" fillId="0" borderId="47" xfId="0" applyFont="1" applyFill="1" applyBorder="1" applyAlignment="1">
      <alignment horizontal="center" vertical="center" wrapText="1"/>
    </xf>
    <xf numFmtId="4" fontId="16" fillId="0" borderId="46" xfId="0" applyNumberFormat="1" applyFont="1" applyFill="1" applyBorder="1" applyAlignment="1">
      <alignment horizontal="center" vertical="center"/>
    </xf>
    <xf numFmtId="4" fontId="16" fillId="0" borderId="50" xfId="0" applyNumberFormat="1" applyFont="1" applyFill="1" applyBorder="1" applyAlignment="1">
      <alignment horizontal="center" vertical="center"/>
    </xf>
    <xf numFmtId="4" fontId="16" fillId="0" borderId="49" xfId="0" applyNumberFormat="1" applyFont="1" applyFill="1" applyBorder="1" applyAlignment="1">
      <alignment horizontal="center" vertical="center"/>
    </xf>
    <xf numFmtId="10" fontId="22" fillId="0" borderId="47" xfId="1" applyNumberFormat="1" applyFont="1" applyFill="1" applyBorder="1" applyAlignment="1">
      <alignment horizontal="center" vertical="center"/>
    </xf>
    <xf numFmtId="4" fontId="16" fillId="0" borderId="51" xfId="0" applyNumberFormat="1" applyFont="1" applyFill="1" applyBorder="1" applyAlignment="1">
      <alignment horizontal="center" vertical="center"/>
    </xf>
    <xf numFmtId="164" fontId="22" fillId="0" borderId="47" xfId="1" applyNumberFormat="1" applyFont="1" applyFill="1" applyBorder="1" applyAlignment="1">
      <alignment horizontal="center" vertical="center"/>
    </xf>
    <xf numFmtId="10" fontId="22" fillId="0" borderId="51" xfId="1" applyNumberFormat="1" applyFont="1" applyFill="1" applyBorder="1" applyAlignment="1">
      <alignment horizontal="center" vertical="center"/>
    </xf>
    <xf numFmtId="164" fontId="14" fillId="0" borderId="47" xfId="1" applyNumberFormat="1" applyFont="1" applyFill="1" applyBorder="1" applyAlignment="1">
      <alignment horizontal="center" vertical="center"/>
    </xf>
    <xf numFmtId="4" fontId="24" fillId="0" borderId="49" xfId="1" applyNumberFormat="1" applyFont="1" applyFill="1" applyBorder="1" applyAlignment="1">
      <alignment horizontal="center" vertical="center"/>
    </xf>
    <xf numFmtId="164" fontId="19" fillId="0" borderId="47" xfId="1" applyNumberFormat="1" applyFont="1" applyFill="1" applyBorder="1" applyAlignment="1">
      <alignment horizontal="center" vertical="center"/>
    </xf>
    <xf numFmtId="4" fontId="24" fillId="0" borderId="46" xfId="0" applyNumberFormat="1" applyFont="1" applyFill="1" applyBorder="1" applyAlignment="1">
      <alignment horizontal="center" vertical="center"/>
    </xf>
    <xf numFmtId="164" fontId="19" fillId="0" borderId="50" xfId="1" applyNumberFormat="1" applyFont="1" applyFill="1" applyBorder="1" applyAlignment="1">
      <alignment horizontal="center" vertical="center"/>
    </xf>
    <xf numFmtId="2" fontId="5" fillId="0" borderId="0" xfId="0" applyNumberFormat="1" applyFont="1" applyFill="1"/>
    <xf numFmtId="0" fontId="0" fillId="0" borderId="0" xfId="0" applyFill="1"/>
    <xf numFmtId="49" fontId="10" fillId="0" borderId="46" xfId="0" applyNumberFormat="1" applyFont="1" applyFill="1" applyBorder="1" applyAlignment="1">
      <alignment horizontal="center" vertical="center"/>
    </xf>
    <xf numFmtId="0" fontId="10" fillId="0" borderId="47" xfId="0" applyFont="1" applyFill="1" applyBorder="1" applyAlignment="1">
      <alignment horizontal="center" vertical="center" wrapText="1"/>
    </xf>
    <xf numFmtId="4" fontId="10" fillId="0" borderId="46" xfId="0" applyNumberFormat="1" applyFont="1" applyFill="1" applyBorder="1" applyAlignment="1">
      <alignment horizontal="center" vertical="center"/>
    </xf>
    <xf numFmtId="4" fontId="10" fillId="0" borderId="49" xfId="0" applyNumberFormat="1" applyFont="1" applyFill="1" applyBorder="1" applyAlignment="1">
      <alignment horizontal="center" vertical="center"/>
    </xf>
    <xf numFmtId="10" fontId="25" fillId="0" borderId="47" xfId="1" applyNumberFormat="1" applyFont="1" applyFill="1" applyBorder="1" applyAlignment="1">
      <alignment horizontal="center" vertical="center"/>
    </xf>
    <xf numFmtId="4" fontId="10" fillId="0" borderId="51" xfId="0" applyNumberFormat="1" applyFont="1" applyFill="1" applyBorder="1" applyAlignment="1">
      <alignment horizontal="center" vertical="center"/>
    </xf>
    <xf numFmtId="10" fontId="19" fillId="0" borderId="50" xfId="1" applyNumberFormat="1" applyFont="1" applyFill="1" applyBorder="1" applyAlignment="1">
      <alignment horizontal="center" vertical="center"/>
    </xf>
    <xf numFmtId="164" fontId="25" fillId="0" borderId="47" xfId="1" applyNumberFormat="1" applyFont="1" applyFill="1" applyBorder="1" applyAlignment="1">
      <alignment horizontal="center" vertical="center"/>
    </xf>
    <xf numFmtId="164" fontId="25" fillId="0" borderId="48" xfId="1" applyNumberFormat="1" applyFont="1" applyFill="1" applyBorder="1" applyAlignment="1">
      <alignment horizontal="center" vertical="center"/>
    </xf>
    <xf numFmtId="10" fontId="25" fillId="0" borderId="51" xfId="1" applyNumberFormat="1" applyFont="1" applyFill="1" applyBorder="1" applyAlignment="1">
      <alignment horizontal="center" vertical="center"/>
    </xf>
    <xf numFmtId="10" fontId="19" fillId="0" borderId="51" xfId="1" applyNumberFormat="1" applyFont="1" applyFill="1" applyBorder="1" applyAlignment="1">
      <alignment horizontal="center" vertical="center"/>
    </xf>
    <xf numFmtId="4" fontId="26" fillId="0" borderId="43" xfId="1" applyNumberFormat="1" applyFont="1" applyFill="1" applyBorder="1" applyAlignment="1">
      <alignment horizontal="center" vertical="center"/>
    </xf>
    <xf numFmtId="4" fontId="26" fillId="0" borderId="50" xfId="1" applyNumberFormat="1" applyFont="1" applyFill="1" applyBorder="1" applyAlignment="1">
      <alignment horizontal="center" vertical="center"/>
    </xf>
    <xf numFmtId="4" fontId="8" fillId="0" borderId="49" xfId="1" applyNumberFormat="1" applyFont="1" applyFill="1" applyBorder="1" applyAlignment="1">
      <alignment horizontal="center" vertical="center"/>
    </xf>
    <xf numFmtId="4" fontId="26" fillId="0" borderId="46" xfId="0" applyNumberFormat="1" applyFont="1" applyFill="1" applyBorder="1" applyAlignment="1">
      <alignment horizontal="center" vertical="center"/>
    </xf>
    <xf numFmtId="4" fontId="16" fillId="0" borderId="50" xfId="1" applyNumberFormat="1" applyFont="1" applyFill="1" applyBorder="1" applyAlignment="1">
      <alignment horizontal="center" vertical="center"/>
    </xf>
    <xf numFmtId="164" fontId="19" fillId="0" borderId="48" xfId="1" applyNumberFormat="1" applyFont="1" applyFill="1" applyBorder="1" applyAlignment="1">
      <alignment horizontal="center" vertical="center"/>
    </xf>
    <xf numFmtId="164" fontId="27" fillId="0" borderId="50" xfId="1" applyNumberFormat="1" applyFont="1" applyFill="1" applyBorder="1" applyAlignment="1">
      <alignment horizontal="center" vertical="center"/>
    </xf>
    <xf numFmtId="4" fontId="24" fillId="3" borderId="46" xfId="0" applyNumberFormat="1" applyFont="1" applyFill="1" applyBorder="1" applyAlignment="1">
      <alignment horizontal="center" vertical="center"/>
    </xf>
    <xf numFmtId="4" fontId="24" fillId="3" borderId="49" xfId="0" applyNumberFormat="1" applyFont="1" applyFill="1" applyBorder="1" applyAlignment="1">
      <alignment horizontal="center" vertical="center"/>
    </xf>
    <xf numFmtId="4" fontId="24" fillId="3" borderId="51" xfId="0" applyNumberFormat="1" applyFont="1" applyFill="1" applyBorder="1" applyAlignment="1">
      <alignment horizontal="center" vertical="center"/>
    </xf>
    <xf numFmtId="164" fontId="27" fillId="3" borderId="50" xfId="1" applyNumberFormat="1" applyFont="1" applyFill="1" applyBorder="1" applyAlignment="1">
      <alignment horizontal="center" vertical="center"/>
    </xf>
    <xf numFmtId="4" fontId="24" fillId="3" borderId="43" xfId="1" applyNumberFormat="1" applyFont="1" applyFill="1" applyBorder="1" applyAlignment="1">
      <alignment horizontal="center" vertical="center"/>
    </xf>
    <xf numFmtId="4" fontId="24" fillId="3" borderId="50" xfId="1" applyNumberFormat="1" applyFont="1" applyFill="1" applyBorder="1" applyAlignment="1">
      <alignment horizontal="center" vertical="center"/>
    </xf>
    <xf numFmtId="4" fontId="24" fillId="3" borderId="49" xfId="1" applyNumberFormat="1" applyFont="1" applyFill="1" applyBorder="1" applyAlignment="1">
      <alignment horizontal="center" vertical="center"/>
    </xf>
    <xf numFmtId="10" fontId="14" fillId="0" borderId="47" xfId="1" applyNumberFormat="1" applyFont="1" applyFill="1" applyBorder="1" applyAlignment="1">
      <alignment horizontal="center" vertical="center"/>
    </xf>
    <xf numFmtId="10" fontId="14" fillId="0" borderId="51" xfId="1" applyNumberFormat="1" applyFont="1" applyFill="1" applyBorder="1" applyAlignment="1">
      <alignment horizontal="center" vertical="center"/>
    </xf>
    <xf numFmtId="49" fontId="25" fillId="0" borderId="46" xfId="0" applyNumberFormat="1" applyFont="1" applyFill="1" applyBorder="1" applyAlignment="1">
      <alignment horizontal="center" vertical="center"/>
    </xf>
    <xf numFmtId="4" fontId="25" fillId="0" borderId="46" xfId="0" applyNumberFormat="1" applyFont="1" applyFill="1" applyBorder="1" applyAlignment="1">
      <alignment horizontal="center" vertical="center"/>
    </xf>
    <xf numFmtId="4" fontId="25" fillId="0" borderId="51" xfId="0" applyNumberFormat="1" applyFont="1" applyFill="1" applyBorder="1" applyAlignment="1">
      <alignment horizontal="center" vertical="center"/>
    </xf>
    <xf numFmtId="10" fontId="25" fillId="0" borderId="50" xfId="1" applyNumberFormat="1" applyFont="1" applyFill="1" applyBorder="1" applyAlignment="1">
      <alignment horizontal="center" vertical="center"/>
    </xf>
    <xf numFmtId="10" fontId="28" fillId="3" borderId="47" xfId="1" applyNumberFormat="1" applyFont="1" applyFill="1" applyBorder="1" applyAlignment="1">
      <alignment horizontal="center" vertical="center"/>
    </xf>
    <xf numFmtId="10" fontId="28" fillId="3" borderId="51" xfId="1" applyNumberFormat="1" applyFont="1" applyFill="1" applyBorder="1" applyAlignment="1">
      <alignment horizontal="center" vertical="center"/>
    </xf>
    <xf numFmtId="10" fontId="28" fillId="3" borderId="50" xfId="1" applyNumberFormat="1" applyFont="1" applyFill="1" applyBorder="1" applyAlignment="1">
      <alignment horizontal="center" vertical="center"/>
    </xf>
    <xf numFmtId="4" fontId="15" fillId="0" borderId="46" xfId="0" applyNumberFormat="1" applyFont="1" applyFill="1" applyBorder="1" applyAlignment="1">
      <alignment horizontal="center" vertical="center"/>
    </xf>
    <xf numFmtId="4" fontId="15" fillId="0" borderId="50" xfId="0" applyNumberFormat="1" applyFont="1" applyFill="1" applyBorder="1" applyAlignment="1">
      <alignment horizontal="center" vertical="center"/>
    </xf>
    <xf numFmtId="4" fontId="15" fillId="0" borderId="49" xfId="0" applyNumberFormat="1" applyFont="1" applyFill="1" applyBorder="1" applyAlignment="1">
      <alignment horizontal="center" vertical="center"/>
    </xf>
    <xf numFmtId="10" fontId="28" fillId="0" borderId="47" xfId="1" applyNumberFormat="1" applyFont="1" applyFill="1" applyBorder="1" applyAlignment="1">
      <alignment horizontal="center" vertical="center"/>
    </xf>
    <xf numFmtId="164" fontId="28" fillId="0" borderId="51" xfId="1" applyNumberFormat="1" applyFont="1" applyFill="1" applyBorder="1" applyAlignment="1">
      <alignment horizontal="center" vertical="center"/>
    </xf>
    <xf numFmtId="4" fontId="15" fillId="0" borderId="51" xfId="0" applyNumberFormat="1" applyFont="1" applyFill="1" applyBorder="1" applyAlignment="1">
      <alignment horizontal="center" vertical="center"/>
    </xf>
    <xf numFmtId="164" fontId="28" fillId="0" borderId="47" xfId="1" applyNumberFormat="1" applyFont="1" applyFill="1" applyBorder="1" applyAlignment="1">
      <alignment horizontal="center" vertical="center"/>
    </xf>
    <xf numFmtId="10" fontId="28" fillId="0" borderId="51" xfId="1" applyNumberFormat="1" applyFont="1" applyFill="1" applyBorder="1" applyAlignment="1">
      <alignment horizontal="center" vertical="center"/>
    </xf>
    <xf numFmtId="10" fontId="28" fillId="0" borderId="50" xfId="1" applyNumberFormat="1" applyFont="1" applyFill="1" applyBorder="1" applyAlignment="1">
      <alignment horizontal="center" vertical="center"/>
    </xf>
    <xf numFmtId="164" fontId="28" fillId="3" borderId="48" xfId="1" applyNumberFormat="1" applyFont="1" applyFill="1" applyBorder="1" applyAlignment="1">
      <alignment horizontal="center" vertical="center"/>
    </xf>
    <xf numFmtId="4" fontId="24" fillId="0" borderId="49" xfId="0" applyNumberFormat="1" applyFont="1" applyFill="1" applyBorder="1" applyAlignment="1">
      <alignment horizontal="center" vertical="center"/>
    </xf>
    <xf numFmtId="10" fontId="19" fillId="0" borderId="47" xfId="1" applyNumberFormat="1" applyFont="1" applyFill="1" applyBorder="1" applyAlignment="1">
      <alignment horizontal="center" vertical="center"/>
    </xf>
    <xf numFmtId="4" fontId="24" fillId="0" borderId="51" xfId="0" applyNumberFormat="1" applyFont="1" applyFill="1" applyBorder="1" applyAlignment="1">
      <alignment horizontal="center" vertical="center"/>
    </xf>
    <xf numFmtId="4" fontId="26" fillId="0" borderId="49" xfId="0" applyNumberFormat="1" applyFont="1" applyFill="1" applyBorder="1" applyAlignment="1">
      <alignment horizontal="center" vertical="center"/>
    </xf>
    <xf numFmtId="0" fontId="29" fillId="0" borderId="0" xfId="0" applyFont="1" applyFill="1"/>
    <xf numFmtId="49" fontId="30" fillId="0" borderId="28" xfId="0" applyNumberFormat="1" applyFont="1" applyFill="1" applyBorder="1" applyAlignment="1">
      <alignment horizontal="center" vertical="center"/>
    </xf>
    <xf numFmtId="0" fontId="8" fillId="0" borderId="32" xfId="0" applyFont="1" applyFill="1" applyBorder="1" applyAlignment="1">
      <alignment horizontal="center" vertical="center" wrapText="1"/>
    </xf>
    <xf numFmtId="4" fontId="31" fillId="0" borderId="28" xfId="0" applyNumberFormat="1" applyFont="1" applyFill="1" applyBorder="1" applyAlignment="1">
      <alignment horizontal="center" vertical="center"/>
    </xf>
    <xf numFmtId="4" fontId="15" fillId="0" borderId="34" xfId="0" applyNumberFormat="1" applyFont="1" applyFill="1" applyBorder="1" applyAlignment="1">
      <alignment horizontal="center" vertical="center"/>
    </xf>
    <xf numFmtId="10" fontId="32" fillId="0" borderId="32" xfId="1" applyNumberFormat="1" applyFont="1" applyFill="1" applyBorder="1" applyAlignment="1">
      <alignment horizontal="center" vertical="center"/>
    </xf>
    <xf numFmtId="10" fontId="32" fillId="0" borderId="33" xfId="1" applyNumberFormat="1" applyFont="1" applyFill="1" applyBorder="1" applyAlignment="1">
      <alignment horizontal="center" vertical="center"/>
    </xf>
    <xf numFmtId="164" fontId="32" fillId="0" borderId="33" xfId="1" applyNumberFormat="1" applyFont="1" applyFill="1" applyBorder="1" applyAlignment="1">
      <alignment horizontal="center" vertical="center"/>
    </xf>
    <xf numFmtId="164" fontId="33" fillId="0" borderId="33" xfId="1" applyNumberFormat="1" applyFont="1" applyFill="1" applyBorder="1" applyAlignment="1">
      <alignment horizontal="center" vertical="center"/>
    </xf>
    <xf numFmtId="164" fontId="32" fillId="0" borderId="57" xfId="1" applyNumberFormat="1" applyFont="1" applyFill="1" applyBorder="1" applyAlignment="1">
      <alignment horizontal="center" vertical="center"/>
    </xf>
    <xf numFmtId="4" fontId="34" fillId="0" borderId="34" xfId="0" applyNumberFormat="1" applyFont="1" applyFill="1" applyBorder="1" applyAlignment="1">
      <alignment horizontal="center" vertical="center"/>
    </xf>
    <xf numFmtId="4" fontId="34" fillId="0" borderId="28" xfId="0" applyNumberFormat="1" applyFont="1" applyFill="1" applyBorder="1" applyAlignment="1">
      <alignment horizontal="center" vertical="center"/>
    </xf>
    <xf numFmtId="10" fontId="32" fillId="0" borderId="35" xfId="1" applyNumberFormat="1" applyFont="1" applyFill="1" applyBorder="1" applyAlignment="1">
      <alignment horizontal="center" vertical="center"/>
    </xf>
    <xf numFmtId="4" fontId="34" fillId="0" borderId="35" xfId="0" applyNumberFormat="1" applyFont="1" applyFill="1" applyBorder="1" applyAlignment="1">
      <alignment horizontal="center" vertical="center"/>
    </xf>
    <xf numFmtId="10" fontId="19" fillId="0" borderId="35" xfId="1" applyNumberFormat="1" applyFont="1" applyFill="1" applyBorder="1" applyAlignment="1">
      <alignment horizontal="center" vertical="center"/>
    </xf>
    <xf numFmtId="4" fontId="31" fillId="0" borderId="35" xfId="0" applyNumberFormat="1" applyFont="1" applyFill="1" applyBorder="1" applyAlignment="1">
      <alignment horizontal="center" vertical="center"/>
    </xf>
    <xf numFmtId="4" fontId="26" fillId="0" borderId="58" xfId="1" applyNumberFormat="1" applyFont="1" applyFill="1" applyBorder="1" applyAlignment="1">
      <alignment horizontal="center" vertical="center"/>
    </xf>
    <xf numFmtId="4" fontId="26" fillId="0" borderId="32" xfId="1" applyNumberFormat="1" applyFont="1" applyFill="1" applyBorder="1" applyAlignment="1">
      <alignment horizontal="center" vertical="center"/>
    </xf>
    <xf numFmtId="4" fontId="26" fillId="0" borderId="33" xfId="1" applyNumberFormat="1" applyFont="1" applyFill="1" applyBorder="1" applyAlignment="1">
      <alignment horizontal="center" vertical="center"/>
    </xf>
    <xf numFmtId="4" fontId="35" fillId="0" borderId="34" xfId="1" applyNumberFormat="1" applyFont="1" applyFill="1" applyBorder="1" applyAlignment="1">
      <alignment horizontal="center" vertical="center"/>
    </xf>
    <xf numFmtId="49" fontId="8" fillId="2" borderId="14" xfId="0" applyNumberFormat="1" applyFont="1" applyFill="1" applyBorder="1" applyAlignment="1">
      <alignment horizontal="center" vertical="center"/>
    </xf>
    <xf numFmtId="0" fontId="24" fillId="2" borderId="16" xfId="0" applyFont="1" applyFill="1" applyBorder="1" applyAlignment="1">
      <alignment horizontal="center" vertical="center" wrapText="1"/>
    </xf>
    <xf numFmtId="4" fontId="37" fillId="2" borderId="14" xfId="0" applyNumberFormat="1" applyFont="1" applyFill="1" applyBorder="1" applyAlignment="1">
      <alignment horizontal="center" vertical="center"/>
    </xf>
    <xf numFmtId="4" fontId="37" fillId="2" borderId="41" xfId="0" applyNumberFormat="1" applyFont="1" applyFill="1" applyBorder="1" applyAlignment="1">
      <alignment horizontal="center" vertical="center"/>
    </xf>
    <xf numFmtId="4" fontId="37" fillId="2" borderId="40" xfId="0" applyNumberFormat="1" applyFont="1" applyFill="1" applyBorder="1" applyAlignment="1">
      <alignment horizontal="center" vertical="center"/>
    </xf>
    <xf numFmtId="10" fontId="38" fillId="2" borderId="16" xfId="1" applyNumberFormat="1" applyFont="1" applyFill="1" applyBorder="1" applyAlignment="1">
      <alignment horizontal="center" vertical="center"/>
    </xf>
    <xf numFmtId="4" fontId="37" fillId="2" borderId="15" xfId="0" applyNumberFormat="1" applyFont="1" applyFill="1" applyBorder="1" applyAlignment="1">
      <alignment horizontal="center" vertical="center"/>
    </xf>
    <xf numFmtId="10" fontId="38" fillId="2" borderId="41" xfId="1" applyNumberFormat="1" applyFont="1" applyFill="1" applyBorder="1" applyAlignment="1">
      <alignment horizontal="center" vertical="center"/>
    </xf>
    <xf numFmtId="164" fontId="28" fillId="4" borderId="16" xfId="1" applyNumberFormat="1" applyFont="1" applyFill="1" applyBorder="1" applyAlignment="1">
      <alignment horizontal="center" vertical="center"/>
    </xf>
    <xf numFmtId="164" fontId="28" fillId="4" borderId="18" xfId="1" applyNumberFormat="1" applyFont="1" applyFill="1" applyBorder="1" applyAlignment="1">
      <alignment horizontal="center" vertical="center"/>
    </xf>
    <xf numFmtId="10" fontId="38" fillId="2" borderId="15" xfId="1" applyNumberFormat="1" applyFont="1" applyFill="1" applyBorder="1" applyAlignment="1">
      <alignment horizontal="center" vertical="center"/>
    </xf>
    <xf numFmtId="4" fontId="37" fillId="4" borderId="17" xfId="0" applyNumberFormat="1" applyFont="1" applyFill="1" applyBorder="1" applyAlignment="1">
      <alignment horizontal="center" vertical="center"/>
    </xf>
    <xf numFmtId="4" fontId="37" fillId="4" borderId="14" xfId="0" applyNumberFormat="1" applyFont="1" applyFill="1" applyBorder="1" applyAlignment="1">
      <alignment horizontal="center" vertical="center"/>
    </xf>
    <xf numFmtId="10" fontId="28" fillId="4" borderId="41" xfId="0" applyNumberFormat="1" applyFont="1" applyFill="1" applyBorder="1" applyAlignment="1">
      <alignment horizontal="center" vertical="center"/>
    </xf>
    <xf numFmtId="164" fontId="28" fillId="2" borderId="41" xfId="0" applyNumberFormat="1" applyFont="1" applyFill="1" applyBorder="1" applyAlignment="1">
      <alignment horizontal="center" vertical="center"/>
    </xf>
    <xf numFmtId="10" fontId="28" fillId="5" borderId="41" xfId="0" applyNumberFormat="1" applyFont="1" applyFill="1" applyBorder="1" applyAlignment="1">
      <alignment horizontal="center" vertical="center"/>
    </xf>
    <xf numFmtId="0" fontId="8" fillId="0" borderId="44" xfId="0" applyFont="1" applyFill="1" applyBorder="1" applyAlignment="1">
      <alignment horizontal="center" vertical="center" wrapText="1"/>
    </xf>
    <xf numFmtId="4" fontId="15" fillId="0" borderId="52" xfId="0" applyNumberFormat="1" applyFont="1" applyFill="1" applyBorder="1" applyAlignment="1">
      <alignment horizontal="center" vertical="center"/>
    </xf>
    <xf numFmtId="4" fontId="15" fillId="0" borderId="53" xfId="0" applyNumberFormat="1" applyFont="1" applyFill="1" applyBorder="1" applyAlignment="1">
      <alignment horizontal="center" vertical="center"/>
    </xf>
    <xf numFmtId="10" fontId="19" fillId="0" borderId="44" xfId="1" applyNumberFormat="1" applyFont="1" applyFill="1" applyBorder="1" applyAlignment="1">
      <alignment horizontal="center" vertical="center"/>
    </xf>
    <xf numFmtId="4" fontId="15" fillId="0" borderId="54" xfId="0" applyNumberFormat="1" applyFont="1" applyFill="1" applyBorder="1" applyAlignment="1">
      <alignment horizontal="center" vertical="center"/>
    </xf>
    <xf numFmtId="10" fontId="19" fillId="0" borderId="45" xfId="1" applyNumberFormat="1" applyFont="1" applyFill="1" applyBorder="1" applyAlignment="1">
      <alignment horizontal="center" vertical="center"/>
    </xf>
    <xf numFmtId="10" fontId="19" fillId="0" borderId="54" xfId="1" applyNumberFormat="1" applyFont="1" applyFill="1" applyBorder="1" applyAlignment="1">
      <alignment horizontal="center" vertical="center"/>
    </xf>
    <xf numFmtId="4" fontId="26" fillId="0" borderId="24" xfId="1" applyNumberFormat="1" applyFont="1" applyFill="1" applyBorder="1" applyAlignment="1">
      <alignment horizontal="center" vertical="center"/>
    </xf>
    <xf numFmtId="164" fontId="19" fillId="0" borderId="44" xfId="1" applyNumberFormat="1" applyFont="1" applyFill="1" applyBorder="1" applyAlignment="1">
      <alignment horizontal="center" vertical="center"/>
    </xf>
    <xf numFmtId="4" fontId="26" fillId="0" borderId="45" xfId="1" applyNumberFormat="1" applyFont="1" applyFill="1" applyBorder="1" applyAlignment="1">
      <alignment horizontal="center" vertical="center"/>
    </xf>
    <xf numFmtId="164" fontId="19" fillId="0" borderId="55" xfId="1" applyNumberFormat="1" applyFont="1" applyFill="1" applyBorder="1" applyAlignment="1">
      <alignment horizontal="center" vertical="center"/>
    </xf>
    <xf numFmtId="164" fontId="19" fillId="0" borderId="50" xfId="0" applyNumberFormat="1" applyFont="1" applyFill="1" applyBorder="1" applyAlignment="1">
      <alignment horizontal="center" vertical="center"/>
    </xf>
    <xf numFmtId="4" fontId="26" fillId="0" borderId="47" xfId="1" applyNumberFormat="1" applyFont="1" applyFill="1" applyBorder="1" applyAlignment="1">
      <alignment horizontal="center" vertical="center"/>
    </xf>
    <xf numFmtId="10" fontId="19" fillId="0" borderId="48" xfId="1" applyNumberFormat="1" applyFont="1" applyFill="1" applyBorder="1" applyAlignment="1">
      <alignment horizontal="center" vertical="center"/>
    </xf>
    <xf numFmtId="4" fontId="21" fillId="0" borderId="46" xfId="0" applyNumberFormat="1" applyFont="1" applyFill="1" applyBorder="1" applyAlignment="1">
      <alignment horizontal="center" vertical="center"/>
    </xf>
    <xf numFmtId="4" fontId="39" fillId="0" borderId="34" xfId="0" applyNumberFormat="1" applyFont="1" applyFill="1" applyBorder="1" applyAlignment="1">
      <alignment horizontal="center" vertical="center"/>
    </xf>
    <xf numFmtId="10" fontId="33" fillId="0" borderId="32" xfId="1" applyNumberFormat="1" applyFont="1" applyFill="1" applyBorder="1" applyAlignment="1">
      <alignment horizontal="center" vertical="center"/>
    </xf>
    <xf numFmtId="4" fontId="39" fillId="0" borderId="28" xfId="0" applyNumberFormat="1" applyFont="1" applyFill="1" applyBorder="1" applyAlignment="1">
      <alignment horizontal="center" vertical="center"/>
    </xf>
    <xf numFmtId="10" fontId="33" fillId="0" borderId="33" xfId="1" applyNumberFormat="1" applyFont="1" applyFill="1" applyBorder="1" applyAlignment="1">
      <alignment horizontal="center" vertical="center"/>
    </xf>
    <xf numFmtId="10" fontId="33" fillId="0" borderId="35" xfId="1" applyNumberFormat="1" applyFont="1" applyFill="1" applyBorder="1" applyAlignment="1">
      <alignment horizontal="center" vertical="center"/>
    </xf>
    <xf numFmtId="10" fontId="33" fillId="0" borderId="0" xfId="1" applyNumberFormat="1" applyFont="1" applyFill="1" applyBorder="1" applyAlignment="1">
      <alignment horizontal="center" vertical="center"/>
    </xf>
    <xf numFmtId="4" fontId="31" fillId="0" borderId="21" xfId="0" applyNumberFormat="1" applyFont="1" applyFill="1" applyBorder="1" applyAlignment="1">
      <alignment horizontal="center" vertical="center"/>
    </xf>
    <xf numFmtId="10" fontId="33" fillId="0" borderId="27" xfId="1" applyNumberFormat="1" applyFont="1" applyFill="1" applyBorder="1" applyAlignment="1">
      <alignment horizontal="center" vertical="center"/>
    </xf>
    <xf numFmtId="164" fontId="32" fillId="0" borderId="33" xfId="0" applyNumberFormat="1" applyFont="1" applyFill="1" applyBorder="1" applyAlignment="1">
      <alignment horizontal="center" vertical="center"/>
    </xf>
    <xf numFmtId="2" fontId="13" fillId="0" borderId="0" xfId="0" applyNumberFormat="1" applyFont="1" applyFill="1"/>
    <xf numFmtId="0" fontId="3" fillId="0" borderId="0" xfId="0" applyFont="1" applyFill="1"/>
    <xf numFmtId="49" fontId="8" fillId="5" borderId="14" xfId="0" applyNumberFormat="1" applyFont="1" applyFill="1" applyBorder="1" applyAlignment="1">
      <alignment horizontal="center" vertical="center"/>
    </xf>
    <xf numFmtId="0" fontId="10" fillId="5" borderId="16" xfId="0" applyFont="1" applyFill="1" applyBorder="1" applyAlignment="1">
      <alignment horizontal="center" vertical="center" wrapText="1"/>
    </xf>
    <xf numFmtId="4" fontId="37" fillId="5" borderId="14" xfId="0" applyNumberFormat="1" applyFont="1" applyFill="1" applyBorder="1" applyAlignment="1">
      <alignment horizontal="center" vertical="center"/>
    </xf>
    <xf numFmtId="4" fontId="37" fillId="5" borderId="41" xfId="0" applyNumberFormat="1" applyFont="1" applyFill="1" applyBorder="1" applyAlignment="1">
      <alignment horizontal="center" vertical="center"/>
    </xf>
    <xf numFmtId="4" fontId="37" fillId="5" borderId="40" xfId="0" applyNumberFormat="1" applyFont="1" applyFill="1" applyBorder="1" applyAlignment="1">
      <alignment horizontal="center" vertical="center"/>
    </xf>
    <xf numFmtId="10" fontId="38" fillId="5" borderId="16" xfId="1" applyNumberFormat="1" applyFont="1" applyFill="1" applyBorder="1" applyAlignment="1">
      <alignment horizontal="center" vertical="center"/>
    </xf>
    <xf numFmtId="4" fontId="37" fillId="5" borderId="15" xfId="0" applyNumberFormat="1" applyFont="1" applyFill="1" applyBorder="1" applyAlignment="1">
      <alignment horizontal="center" vertical="center"/>
    </xf>
    <xf numFmtId="10" fontId="38" fillId="5" borderId="41" xfId="1" applyNumberFormat="1" applyFont="1" applyFill="1" applyBorder="1" applyAlignment="1">
      <alignment horizontal="center" vertical="center"/>
    </xf>
    <xf numFmtId="4" fontId="37" fillId="5" borderId="17" xfId="0" applyNumberFormat="1" applyFont="1" applyFill="1" applyBorder="1" applyAlignment="1">
      <alignment horizontal="center" vertical="center"/>
    </xf>
    <xf numFmtId="164" fontId="28" fillId="5" borderId="16" xfId="1" applyNumberFormat="1" applyFont="1" applyFill="1" applyBorder="1" applyAlignment="1">
      <alignment horizontal="center" vertical="center"/>
    </xf>
    <xf numFmtId="10" fontId="38" fillId="5" borderId="15" xfId="1" applyNumberFormat="1" applyFont="1" applyFill="1" applyBorder="1" applyAlignment="1">
      <alignment horizontal="center" vertical="center"/>
    </xf>
    <xf numFmtId="10" fontId="28" fillId="5" borderId="18" xfId="1" applyNumberFormat="1" applyFont="1" applyFill="1" applyBorder="1" applyAlignment="1">
      <alignment horizontal="center" vertical="center"/>
    </xf>
    <xf numFmtId="4" fontId="37" fillId="6" borderId="17" xfId="0" applyNumberFormat="1" applyFont="1" applyFill="1" applyBorder="1" applyAlignment="1">
      <alignment horizontal="center" vertical="center"/>
    </xf>
    <xf numFmtId="10" fontId="28" fillId="6" borderId="41" xfId="0" applyNumberFormat="1" applyFont="1" applyFill="1" applyBorder="1" applyAlignment="1">
      <alignment horizontal="center" vertical="center"/>
    </xf>
    <xf numFmtId="164" fontId="28" fillId="5" borderId="41" xfId="0" applyNumberFormat="1" applyFont="1" applyFill="1" applyBorder="1" applyAlignment="1">
      <alignment horizontal="center" vertical="center"/>
    </xf>
    <xf numFmtId="49" fontId="11" fillId="7" borderId="52" xfId="0" applyNumberFormat="1" applyFont="1" applyFill="1" applyBorder="1" applyAlignment="1">
      <alignment horizontal="center" vertical="center"/>
    </xf>
    <xf numFmtId="0" fontId="24" fillId="7" borderId="54" xfId="0" applyFont="1" applyFill="1" applyBorder="1" applyAlignment="1">
      <alignment horizontal="left" vertical="center" wrapText="1"/>
    </xf>
    <xf numFmtId="0" fontId="24" fillId="7" borderId="44" xfId="0" applyFont="1" applyFill="1" applyBorder="1" applyAlignment="1">
      <alignment horizontal="center" vertical="center" wrapText="1"/>
    </xf>
    <xf numFmtId="4" fontId="37" fillId="7" borderId="52" xfId="0" applyNumberFormat="1" applyFont="1" applyFill="1" applyBorder="1" applyAlignment="1">
      <alignment horizontal="center" vertical="center"/>
    </xf>
    <xf numFmtId="4" fontId="37" fillId="7" borderId="45" xfId="0" applyNumberFormat="1" applyFont="1" applyFill="1" applyBorder="1" applyAlignment="1">
      <alignment horizontal="center" vertical="center"/>
    </xf>
    <xf numFmtId="4" fontId="37" fillId="7" borderId="53" xfId="0" applyNumberFormat="1" applyFont="1" applyFill="1" applyBorder="1" applyAlignment="1">
      <alignment horizontal="center" vertical="center"/>
    </xf>
    <xf numFmtId="10" fontId="38" fillId="7" borderId="44" xfId="1" applyNumberFormat="1" applyFont="1" applyFill="1" applyBorder="1" applyAlignment="1">
      <alignment horizontal="center" vertical="center"/>
    </xf>
    <xf numFmtId="10" fontId="38" fillId="7" borderId="54" xfId="1" applyNumberFormat="1" applyFont="1" applyFill="1" applyBorder="1" applyAlignment="1">
      <alignment horizontal="center" vertical="center"/>
    </xf>
    <xf numFmtId="4" fontId="37" fillId="7" borderId="54" xfId="0" applyNumberFormat="1" applyFont="1" applyFill="1" applyBorder="1" applyAlignment="1">
      <alignment horizontal="center" vertical="center"/>
    </xf>
    <xf numFmtId="10" fontId="38" fillId="7" borderId="45" xfId="1" applyNumberFormat="1" applyFont="1" applyFill="1" applyBorder="1" applyAlignment="1">
      <alignment horizontal="center" vertical="center"/>
    </xf>
    <xf numFmtId="4" fontId="37" fillId="7" borderId="24" xfId="0" applyNumberFormat="1" applyFont="1" applyFill="1" applyBorder="1" applyAlignment="1">
      <alignment horizontal="center" vertical="center"/>
    </xf>
    <xf numFmtId="164" fontId="28" fillId="7" borderId="2" xfId="1" applyNumberFormat="1" applyFont="1" applyFill="1" applyBorder="1" applyAlignment="1">
      <alignment horizontal="center" vertical="center"/>
    </xf>
    <xf numFmtId="4" fontId="37" fillId="4" borderId="53" xfId="0" applyNumberFormat="1" applyFont="1" applyFill="1" applyBorder="1" applyAlignment="1">
      <alignment horizontal="center" vertical="center"/>
    </xf>
    <xf numFmtId="164" fontId="28" fillId="4" borderId="44" xfId="1" applyNumberFormat="1" applyFont="1" applyFill="1" applyBorder="1" applyAlignment="1">
      <alignment horizontal="center" vertical="center"/>
    </xf>
    <xf numFmtId="4" fontId="37" fillId="4" borderId="52" xfId="0" applyNumberFormat="1" applyFont="1" applyFill="1" applyBorder="1" applyAlignment="1">
      <alignment horizontal="center" vertical="center"/>
    </xf>
    <xf numFmtId="164" fontId="28" fillId="4" borderId="45" xfId="1" applyNumberFormat="1" applyFont="1" applyFill="1" applyBorder="1" applyAlignment="1">
      <alignment horizontal="center" vertical="center"/>
    </xf>
    <xf numFmtId="0" fontId="24" fillId="0" borderId="51" xfId="0" applyFont="1" applyFill="1" applyBorder="1" applyAlignment="1">
      <alignment horizontal="left" vertical="center" wrapText="1"/>
    </xf>
    <xf numFmtId="0" fontId="24" fillId="0" borderId="47" xfId="0" applyFont="1" applyFill="1" applyBorder="1" applyAlignment="1">
      <alignment horizontal="center" vertical="center" wrapText="1"/>
    </xf>
    <xf numFmtId="10" fontId="21" fillId="0" borderId="47" xfId="1" applyNumberFormat="1" applyFont="1" applyFill="1" applyBorder="1" applyAlignment="1">
      <alignment horizontal="center" vertical="center"/>
    </xf>
    <xf numFmtId="10" fontId="21" fillId="0" borderId="51" xfId="1" applyNumberFormat="1" applyFont="1" applyFill="1" applyBorder="1" applyAlignment="1">
      <alignment horizontal="center" vertical="center"/>
    </xf>
    <xf numFmtId="164" fontId="21" fillId="0" borderId="50" xfId="1" applyNumberFormat="1" applyFont="1" applyFill="1" applyBorder="1" applyAlignment="1">
      <alignment horizontal="center" vertical="center"/>
    </xf>
    <xf numFmtId="4" fontId="15" fillId="0" borderId="43" xfId="0" applyNumberFormat="1" applyFont="1" applyFill="1" applyBorder="1" applyAlignment="1">
      <alignment horizontal="center" vertical="center"/>
    </xf>
    <xf numFmtId="164" fontId="21" fillId="0" borderId="47" xfId="1" applyNumberFormat="1" applyFont="1" applyFill="1" applyBorder="1" applyAlignment="1">
      <alignment horizontal="center" vertical="center"/>
    </xf>
    <xf numFmtId="0" fontId="0" fillId="0" borderId="0" xfId="0" applyFont="1" applyFill="1"/>
    <xf numFmtId="49" fontId="11" fillId="0" borderId="46" xfId="0" applyNumberFormat="1" applyFont="1" applyFill="1" applyBorder="1" applyAlignment="1">
      <alignment horizontal="center" vertical="center"/>
    </xf>
    <xf numFmtId="0" fontId="27" fillId="0" borderId="51" xfId="0" applyFont="1" applyFill="1" applyBorder="1" applyAlignment="1">
      <alignment horizontal="left" vertical="center" wrapText="1"/>
    </xf>
    <xf numFmtId="0" fontId="27" fillId="0" borderId="47" xfId="0" applyFont="1" applyFill="1" applyBorder="1" applyAlignment="1">
      <alignment horizontal="center" vertical="center" wrapText="1"/>
    </xf>
    <xf numFmtId="4" fontId="37" fillId="0" borderId="46" xfId="0" applyNumberFormat="1" applyFont="1" applyFill="1" applyBorder="1" applyAlignment="1">
      <alignment horizontal="center" vertical="center"/>
    </xf>
    <xf numFmtId="4" fontId="37" fillId="0" borderId="50" xfId="0" applyNumberFormat="1" applyFont="1" applyFill="1" applyBorder="1" applyAlignment="1">
      <alignment horizontal="center" vertical="center"/>
    </xf>
    <xf numFmtId="4" fontId="37" fillId="0" borderId="49" xfId="0" applyNumberFormat="1" applyFont="1" applyFill="1" applyBorder="1" applyAlignment="1">
      <alignment horizontal="center" vertical="center"/>
    </xf>
    <xf numFmtId="10" fontId="38" fillId="0" borderId="47" xfId="1" applyNumberFormat="1" applyFont="1" applyFill="1" applyBorder="1" applyAlignment="1">
      <alignment horizontal="center" vertical="center"/>
    </xf>
    <xf numFmtId="10" fontId="38" fillId="0" borderId="51" xfId="1" applyNumberFormat="1" applyFont="1" applyFill="1" applyBorder="1" applyAlignment="1">
      <alignment horizontal="center" vertical="center"/>
    </xf>
    <xf numFmtId="4" fontId="37" fillId="0" borderId="51" xfId="0" applyNumberFormat="1" applyFont="1" applyFill="1" applyBorder="1" applyAlignment="1">
      <alignment horizontal="center" vertical="center"/>
    </xf>
    <xf numFmtId="164" fontId="28" fillId="0" borderId="50" xfId="1" applyNumberFormat="1" applyFont="1" applyFill="1" applyBorder="1" applyAlignment="1">
      <alignment horizontal="center" vertical="center"/>
    </xf>
    <xf numFmtId="10" fontId="38" fillId="0" borderId="50" xfId="1" applyNumberFormat="1" applyFont="1" applyFill="1" applyBorder="1" applyAlignment="1">
      <alignment horizontal="center" vertical="center"/>
    </xf>
    <xf numFmtId="4" fontId="37" fillId="0" borderId="43" xfId="0" applyNumberFormat="1" applyFont="1" applyFill="1" applyBorder="1" applyAlignment="1">
      <alignment horizontal="center" vertical="center"/>
    </xf>
    <xf numFmtId="164" fontId="28" fillId="0" borderId="22" xfId="1" applyNumberFormat="1" applyFont="1" applyFill="1" applyBorder="1" applyAlignment="1">
      <alignment horizontal="center" vertical="center"/>
    </xf>
    <xf numFmtId="49" fontId="8" fillId="7" borderId="46" xfId="0" applyNumberFormat="1" applyFont="1" applyFill="1" applyBorder="1" applyAlignment="1">
      <alignment horizontal="center" vertical="center"/>
    </xf>
    <xf numFmtId="0" fontId="24" fillId="7" borderId="51" xfId="0" applyFont="1" applyFill="1" applyBorder="1" applyAlignment="1">
      <alignment horizontal="left" vertical="center" wrapText="1"/>
    </xf>
    <xf numFmtId="0" fontId="24" fillId="7" borderId="47" xfId="0" applyFont="1" applyFill="1" applyBorder="1" applyAlignment="1">
      <alignment horizontal="center" vertical="center" wrapText="1"/>
    </xf>
    <xf numFmtId="4" fontId="15" fillId="7" borderId="46" xfId="0" applyNumberFormat="1" applyFont="1" applyFill="1" applyBorder="1" applyAlignment="1">
      <alignment horizontal="center" vertical="center"/>
    </xf>
    <xf numFmtId="4" fontId="15" fillId="7" borderId="50" xfId="0" applyNumberFormat="1" applyFont="1" applyFill="1" applyBorder="1" applyAlignment="1">
      <alignment horizontal="center" vertical="center"/>
    </xf>
    <xf numFmtId="4" fontId="15" fillId="7" borderId="49" xfId="0" applyNumberFormat="1" applyFont="1" applyFill="1" applyBorder="1" applyAlignment="1">
      <alignment horizontal="center" vertical="center"/>
    </xf>
    <xf numFmtId="10" fontId="28" fillId="7" borderId="47" xfId="1" applyNumberFormat="1" applyFont="1" applyFill="1" applyBorder="1" applyAlignment="1">
      <alignment horizontal="center" vertical="center"/>
    </xf>
    <xf numFmtId="164" fontId="28" fillId="7" borderId="51" xfId="1" applyNumberFormat="1" applyFont="1" applyFill="1" applyBorder="1" applyAlignment="1">
      <alignment horizontal="center" vertical="center"/>
    </xf>
    <xf numFmtId="10" fontId="28" fillId="7" borderId="51" xfId="1" applyNumberFormat="1" applyFont="1" applyFill="1" applyBorder="1" applyAlignment="1">
      <alignment horizontal="center" vertical="center"/>
    </xf>
    <xf numFmtId="4" fontId="15" fillId="7" borderId="51" xfId="0" applyNumberFormat="1" applyFont="1" applyFill="1" applyBorder="1" applyAlignment="1">
      <alignment horizontal="center" vertical="center"/>
    </xf>
    <xf numFmtId="10" fontId="28" fillId="7" borderId="50" xfId="1" applyNumberFormat="1" applyFont="1" applyFill="1" applyBorder="1" applyAlignment="1">
      <alignment horizontal="center" vertical="center"/>
    </xf>
    <xf numFmtId="4" fontId="15" fillId="7" borderId="43" xfId="0" applyNumberFormat="1" applyFont="1" applyFill="1" applyBorder="1" applyAlignment="1">
      <alignment horizontal="center" vertical="center"/>
    </xf>
    <xf numFmtId="0" fontId="5" fillId="0" borderId="0" xfId="0" applyFont="1" applyFill="1"/>
    <xf numFmtId="49" fontId="30" fillId="0" borderId="46" xfId="0" applyNumberFormat="1" applyFont="1" applyFill="1" applyBorder="1" applyAlignment="1">
      <alignment horizontal="center" vertical="center"/>
    </xf>
    <xf numFmtId="0" fontId="40" fillId="0" borderId="51" xfId="0" applyFont="1" applyFill="1" applyBorder="1" applyAlignment="1">
      <alignment horizontal="left" vertical="center" wrapText="1"/>
    </xf>
    <xf numFmtId="0" fontId="40" fillId="0" borderId="47" xfId="0" applyFont="1" applyFill="1" applyBorder="1" applyAlignment="1">
      <alignment horizontal="center" vertical="center" wrapText="1"/>
    </xf>
    <xf numFmtId="4" fontId="34" fillId="0" borderId="46" xfId="0" applyNumberFormat="1" applyFont="1" applyFill="1" applyBorder="1" applyAlignment="1">
      <alignment horizontal="center" vertical="center"/>
    </xf>
    <xf numFmtId="4" fontId="34" fillId="0" borderId="50" xfId="0" applyNumberFormat="1" applyFont="1" applyFill="1" applyBorder="1" applyAlignment="1">
      <alignment horizontal="center" vertical="center"/>
    </xf>
    <xf numFmtId="4" fontId="34" fillId="0" borderId="49" xfId="0" applyNumberFormat="1" applyFont="1" applyFill="1" applyBorder="1" applyAlignment="1">
      <alignment horizontal="center" vertical="center"/>
    </xf>
    <xf numFmtId="4" fontId="34" fillId="0" borderId="47" xfId="0" applyNumberFormat="1" applyFont="1" applyFill="1" applyBorder="1" applyAlignment="1">
      <alignment horizontal="center" vertical="center"/>
    </xf>
    <xf numFmtId="4" fontId="34" fillId="0" borderId="51" xfId="0" applyNumberFormat="1" applyFont="1" applyFill="1" applyBorder="1" applyAlignment="1">
      <alignment horizontal="center" vertical="center"/>
    </xf>
    <xf numFmtId="164" fontId="34" fillId="0" borderId="50" xfId="0" applyNumberFormat="1" applyFont="1" applyFill="1" applyBorder="1" applyAlignment="1">
      <alignment horizontal="center" vertical="center"/>
    </xf>
    <xf numFmtId="4" fontId="34" fillId="0" borderId="43" xfId="0" applyNumberFormat="1" applyFont="1" applyFill="1" applyBorder="1" applyAlignment="1">
      <alignment horizontal="center" vertical="center"/>
    </xf>
    <xf numFmtId="164" fontId="28" fillId="0" borderId="29" xfId="1" applyNumberFormat="1" applyFont="1" applyFill="1" applyBorder="1" applyAlignment="1">
      <alignment horizontal="center" vertical="center"/>
    </xf>
    <xf numFmtId="2" fontId="42" fillId="0" borderId="0" xfId="0" applyNumberFormat="1" applyFont="1" applyFill="1"/>
    <xf numFmtId="0" fontId="2" fillId="0" borderId="0" xfId="0" applyFont="1" applyFill="1"/>
    <xf numFmtId="49" fontId="8" fillId="0" borderId="28" xfId="0" applyNumberFormat="1" applyFont="1" applyFill="1" applyBorder="1" applyAlignment="1">
      <alignment horizontal="center" vertical="center"/>
    </xf>
    <xf numFmtId="0" fontId="27" fillId="0" borderId="35" xfId="0" applyFont="1" applyFill="1" applyBorder="1" applyAlignment="1">
      <alignment horizontal="left" vertical="center" wrapText="1"/>
    </xf>
    <xf numFmtId="0" fontId="24" fillId="0" borderId="32" xfId="0" applyFont="1" applyFill="1" applyBorder="1" applyAlignment="1">
      <alignment horizontal="center" vertical="center" wrapText="1"/>
    </xf>
    <xf numFmtId="4" fontId="37" fillId="0" borderId="28" xfId="0" applyNumberFormat="1" applyFont="1" applyFill="1" applyBorder="1" applyAlignment="1">
      <alignment horizontal="center" vertical="center"/>
    </xf>
    <xf numFmtId="4" fontId="37" fillId="0" borderId="33" xfId="0" applyNumberFormat="1" applyFont="1" applyFill="1" applyBorder="1" applyAlignment="1">
      <alignment horizontal="center" vertical="center"/>
    </xf>
    <xf numFmtId="4" fontId="37" fillId="0" borderId="34" xfId="0" applyNumberFormat="1" applyFont="1" applyFill="1" applyBorder="1" applyAlignment="1">
      <alignment horizontal="center" vertical="center"/>
    </xf>
    <xf numFmtId="10" fontId="38" fillId="0" borderId="32" xfId="1" applyNumberFormat="1" applyFont="1" applyFill="1" applyBorder="1" applyAlignment="1">
      <alignment horizontal="center" vertical="center"/>
    </xf>
    <xf numFmtId="10" fontId="38" fillId="0" borderId="35" xfId="1" applyNumberFormat="1" applyFont="1" applyFill="1" applyBorder="1" applyAlignment="1">
      <alignment horizontal="center" vertical="center"/>
    </xf>
    <xf numFmtId="4" fontId="37" fillId="0" borderId="35" xfId="0" applyNumberFormat="1" applyFont="1" applyFill="1" applyBorder="1" applyAlignment="1">
      <alignment horizontal="center" vertical="center"/>
    </xf>
    <xf numFmtId="164" fontId="28" fillId="0" borderId="33" xfId="1" applyNumberFormat="1" applyFont="1" applyFill="1" applyBorder="1" applyAlignment="1">
      <alignment horizontal="center" vertical="center"/>
    </xf>
    <xf numFmtId="10" fontId="38" fillId="0" borderId="33" xfId="1" applyNumberFormat="1" applyFont="1" applyFill="1" applyBorder="1" applyAlignment="1">
      <alignment horizontal="center" vertical="center"/>
    </xf>
    <xf numFmtId="4" fontId="37" fillId="0" borderId="58" xfId="0" applyNumberFormat="1" applyFont="1" applyFill="1" applyBorder="1" applyAlignment="1">
      <alignment horizontal="center" vertical="center"/>
    </xf>
    <xf numFmtId="164" fontId="28" fillId="0" borderId="2" xfId="1" applyNumberFormat="1" applyFont="1" applyFill="1" applyBorder="1" applyAlignment="1">
      <alignment horizontal="center" vertical="center"/>
    </xf>
    <xf numFmtId="2" fontId="5" fillId="0" borderId="0" xfId="0" applyNumberFormat="1" applyFont="1" applyFill="1" applyBorder="1"/>
    <xf numFmtId="0" fontId="0" fillId="0" borderId="0" xfId="0" applyFill="1" applyBorder="1"/>
    <xf numFmtId="49" fontId="8" fillId="8" borderId="28" xfId="0" applyNumberFormat="1" applyFont="1" applyFill="1" applyBorder="1" applyAlignment="1">
      <alignment horizontal="center" vertical="center"/>
    </xf>
    <xf numFmtId="0" fontId="27" fillId="8" borderId="35" xfId="0" applyFont="1" applyFill="1" applyBorder="1" applyAlignment="1">
      <alignment horizontal="left" vertical="center" wrapText="1"/>
    </xf>
    <xf numFmtId="0" fontId="10" fillId="8" borderId="32" xfId="0" applyFont="1" applyFill="1" applyBorder="1" applyAlignment="1">
      <alignment horizontal="center" vertical="center" wrapText="1"/>
    </xf>
    <xf numFmtId="4" fontId="37" fillId="8" borderId="28" xfId="0" applyNumberFormat="1" applyFont="1" applyFill="1" applyBorder="1" applyAlignment="1">
      <alignment horizontal="center" vertical="center"/>
    </xf>
    <xf numFmtId="4" fontId="37" fillId="8" borderId="34" xfId="0" applyNumberFormat="1" applyFont="1" applyFill="1" applyBorder="1" applyAlignment="1">
      <alignment horizontal="center" vertical="center"/>
    </xf>
    <xf numFmtId="10" fontId="38" fillId="8" borderId="35" xfId="1" applyNumberFormat="1" applyFont="1" applyFill="1" applyBorder="1" applyAlignment="1">
      <alignment horizontal="center" vertical="center"/>
    </xf>
    <xf numFmtId="4" fontId="37" fillId="8" borderId="35" xfId="0" applyNumberFormat="1" applyFont="1" applyFill="1" applyBorder="1" applyAlignment="1">
      <alignment horizontal="center" vertical="center"/>
    </xf>
    <xf numFmtId="10" fontId="38" fillId="8" borderId="32" xfId="1" applyNumberFormat="1" applyFont="1" applyFill="1" applyBorder="1" applyAlignment="1">
      <alignment horizontal="center" vertical="center"/>
    </xf>
    <xf numFmtId="4" fontId="37" fillId="8" borderId="58" xfId="0" applyNumberFormat="1" applyFont="1" applyFill="1" applyBorder="1" applyAlignment="1">
      <alignment horizontal="center" vertical="center"/>
    </xf>
    <xf numFmtId="4" fontId="37" fillId="8" borderId="62" xfId="0" applyNumberFormat="1" applyFont="1" applyFill="1" applyBorder="1" applyAlignment="1">
      <alignment horizontal="center" vertical="center"/>
    </xf>
    <xf numFmtId="164" fontId="43" fillId="8" borderId="33" xfId="0" applyNumberFormat="1" applyFont="1" applyFill="1" applyBorder="1"/>
    <xf numFmtId="0" fontId="0" fillId="8" borderId="33" xfId="0" applyFill="1" applyBorder="1"/>
    <xf numFmtId="164" fontId="43" fillId="0" borderId="63" xfId="0" applyNumberFormat="1" applyFont="1" applyFill="1" applyBorder="1"/>
    <xf numFmtId="49" fontId="8" fillId="8" borderId="14" xfId="0" applyNumberFormat="1" applyFont="1" applyFill="1" applyBorder="1" applyAlignment="1">
      <alignment horizontal="center" vertical="center"/>
    </xf>
    <xf numFmtId="0" fontId="27" fillId="8" borderId="15" xfId="0" applyFont="1" applyFill="1" applyBorder="1" applyAlignment="1">
      <alignment horizontal="left" vertical="center" wrapText="1"/>
    </xf>
    <xf numFmtId="0" fontId="24" fillId="0" borderId="16" xfId="0" applyFont="1" applyFill="1" applyBorder="1" applyAlignment="1">
      <alignment horizontal="center" vertical="center" wrapText="1"/>
    </xf>
    <xf numFmtId="4" fontId="37" fillId="8" borderId="40" xfId="0" applyNumberFormat="1" applyFont="1" applyFill="1" applyBorder="1" applyAlignment="1">
      <alignment horizontal="center" vertical="center"/>
    </xf>
    <xf numFmtId="10" fontId="38" fillId="8" borderId="15" xfId="1" applyNumberFormat="1" applyFont="1" applyFill="1" applyBorder="1" applyAlignment="1">
      <alignment horizontal="center" vertical="center"/>
    </xf>
    <xf numFmtId="4" fontId="37" fillId="8" borderId="15" xfId="0" applyNumberFormat="1" applyFont="1" applyFill="1" applyBorder="1" applyAlignment="1">
      <alignment horizontal="center" vertical="center"/>
    </xf>
    <xf numFmtId="10" fontId="38" fillId="8" borderId="16" xfId="1" applyNumberFormat="1" applyFont="1" applyFill="1" applyBorder="1" applyAlignment="1">
      <alignment horizontal="center" vertical="center"/>
    </xf>
    <xf numFmtId="164" fontId="43" fillId="8" borderId="41" xfId="0" applyNumberFormat="1" applyFont="1" applyFill="1" applyBorder="1"/>
    <xf numFmtId="0" fontId="0" fillId="8" borderId="41" xfId="0" applyFill="1" applyBorder="1"/>
    <xf numFmtId="4" fontId="37" fillId="8" borderId="14" xfId="0" applyNumberFormat="1" applyFont="1" applyFill="1" applyBorder="1" applyAlignment="1">
      <alignment horizontal="center" vertical="center"/>
    </xf>
    <xf numFmtId="164" fontId="43" fillId="8" borderId="19" xfId="0" applyNumberFormat="1" applyFont="1" applyFill="1" applyBorder="1"/>
    <xf numFmtId="2" fontId="5" fillId="8" borderId="0" xfId="0" applyNumberFormat="1" applyFont="1" applyFill="1" applyBorder="1"/>
    <xf numFmtId="0" fontId="0" fillId="8" borderId="0" xfId="0" applyFill="1" applyBorder="1"/>
    <xf numFmtId="49" fontId="8" fillId="8" borderId="11" xfId="0" applyNumberFormat="1" applyFont="1" applyFill="1" applyBorder="1" applyAlignment="1">
      <alignment horizontal="center" vertical="center"/>
    </xf>
    <xf numFmtId="0" fontId="27" fillId="8" borderId="13" xfId="0" applyFont="1" applyFill="1" applyBorder="1" applyAlignment="1">
      <alignment horizontal="left" vertical="center" wrapText="1"/>
    </xf>
    <xf numFmtId="4" fontId="37" fillId="8" borderId="4" xfId="0" applyNumberFormat="1" applyFont="1" applyFill="1" applyBorder="1" applyAlignment="1">
      <alignment horizontal="center" vertical="center"/>
    </xf>
    <xf numFmtId="10" fontId="38" fillId="8" borderId="13" xfId="1" applyNumberFormat="1" applyFont="1" applyFill="1" applyBorder="1" applyAlignment="1">
      <alignment horizontal="center" vertical="center"/>
    </xf>
    <xf numFmtId="4" fontId="37" fillId="8" borderId="13" xfId="0" applyNumberFormat="1" applyFont="1" applyFill="1" applyBorder="1" applyAlignment="1">
      <alignment horizontal="center" vertical="center"/>
    </xf>
    <xf numFmtId="10" fontId="38" fillId="8" borderId="2" xfId="1" applyNumberFormat="1" applyFont="1" applyFill="1" applyBorder="1" applyAlignment="1">
      <alignment horizontal="center" vertical="center"/>
    </xf>
    <xf numFmtId="4" fontId="37" fillId="8" borderId="2" xfId="0" applyNumberFormat="1" applyFont="1" applyFill="1" applyBorder="1" applyAlignment="1">
      <alignment horizontal="center" vertical="center"/>
    </xf>
    <xf numFmtId="49" fontId="8" fillId="0" borderId="0" xfId="0" applyNumberFormat="1" applyFont="1" applyFill="1" applyBorder="1" applyAlignment="1">
      <alignment horizontal="left" vertical="center"/>
    </xf>
    <xf numFmtId="0" fontId="10" fillId="0" borderId="0" xfId="0" applyFont="1" applyFill="1"/>
    <xf numFmtId="0" fontId="45" fillId="0" borderId="0" xfId="0" applyFont="1" applyFill="1"/>
    <xf numFmtId="0" fontId="45" fillId="0" borderId="0" xfId="0" applyFont="1"/>
    <xf numFmtId="4" fontId="45" fillId="0" borderId="0" xfId="0" applyNumberFormat="1" applyFont="1" applyFill="1"/>
    <xf numFmtId="2" fontId="46" fillId="0" borderId="0" xfId="0" applyNumberFormat="1" applyFont="1"/>
    <xf numFmtId="0" fontId="46" fillId="0" borderId="0" xfId="0" applyFont="1" applyFill="1"/>
    <xf numFmtId="4" fontId="45" fillId="0" borderId="0" xfId="0" applyNumberFormat="1" applyFont="1"/>
    <xf numFmtId="0" fontId="47" fillId="0" borderId="0" xfId="0" applyFont="1" applyFill="1"/>
    <xf numFmtId="4" fontId="0" fillId="0" borderId="0" xfId="0" applyNumberFormat="1" applyFont="1" applyFill="1"/>
    <xf numFmtId="0" fontId="46" fillId="0" borderId="0" xfId="0" applyFont="1" applyFill="1" applyAlignment="1">
      <alignment vertical="center" wrapText="1"/>
    </xf>
    <xf numFmtId="0" fontId="49" fillId="0" borderId="11" xfId="0" applyFont="1" applyFill="1" applyBorder="1" applyAlignment="1">
      <alignment horizontal="center" vertical="center" wrapText="1"/>
    </xf>
    <xf numFmtId="0" fontId="24" fillId="0" borderId="13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0" fontId="45" fillId="0" borderId="0" xfId="0" applyFont="1" applyFill="1" applyAlignment="1">
      <alignment horizontal="center" vertical="center" wrapText="1"/>
    </xf>
    <xf numFmtId="0" fontId="50" fillId="0" borderId="0" xfId="0" applyFont="1" applyFill="1"/>
    <xf numFmtId="0" fontId="50" fillId="0" borderId="0" xfId="0" applyFont="1"/>
    <xf numFmtId="0" fontId="49" fillId="0" borderId="14" xfId="0" applyFont="1" applyFill="1" applyBorder="1" applyAlignment="1">
      <alignment horizontal="center" vertical="center"/>
    </xf>
    <xf numFmtId="0" fontId="24" fillId="0" borderId="15" xfId="0" applyFont="1" applyFill="1" applyBorder="1" applyAlignment="1">
      <alignment horizontal="center" vertical="center" wrapText="1"/>
    </xf>
    <xf numFmtId="0" fontId="26" fillId="0" borderId="0" xfId="0" applyFont="1" applyFill="1" applyAlignment="1">
      <alignment horizontal="center" vertical="center" wrapText="1"/>
    </xf>
    <xf numFmtId="0" fontId="51" fillId="0" borderId="0" xfId="0" applyFont="1" applyFill="1" applyAlignment="1">
      <alignment horizontal="center" vertical="center" wrapText="1"/>
    </xf>
    <xf numFmtId="0" fontId="51" fillId="0" borderId="0" xfId="0" applyFont="1" applyFill="1"/>
    <xf numFmtId="0" fontId="51" fillId="0" borderId="0" xfId="0" applyFont="1"/>
    <xf numFmtId="4" fontId="51" fillId="0" borderId="0" xfId="0" applyNumberFormat="1" applyFont="1" applyFill="1"/>
    <xf numFmtId="0" fontId="52" fillId="0" borderId="0" xfId="0" applyFont="1" applyFill="1"/>
    <xf numFmtId="0" fontId="52" fillId="0" borderId="0" xfId="0" applyFont="1"/>
    <xf numFmtId="0" fontId="51" fillId="0" borderId="52" xfId="0" applyFont="1" applyBorder="1" applyAlignment="1">
      <alignment horizontal="center" vertical="center"/>
    </xf>
    <xf numFmtId="0" fontId="53" fillId="0" borderId="54" xfId="0" applyFont="1" applyBorder="1" applyAlignment="1">
      <alignment horizontal="center" vertical="center"/>
    </xf>
    <xf numFmtId="3" fontId="54" fillId="0" borderId="54" xfId="0" applyNumberFormat="1" applyFont="1" applyBorder="1" applyAlignment="1">
      <alignment horizontal="center" vertical="center"/>
    </xf>
    <xf numFmtId="0" fontId="46" fillId="0" borderId="0" xfId="0" applyFont="1"/>
    <xf numFmtId="0" fontId="51" fillId="0" borderId="46" xfId="0" applyFont="1" applyBorder="1" applyAlignment="1">
      <alignment horizontal="center" vertical="center"/>
    </xf>
    <xf numFmtId="0" fontId="53" fillId="0" borderId="51" xfId="0" applyFont="1" applyBorder="1" applyAlignment="1">
      <alignment horizontal="center" vertical="center"/>
    </xf>
    <xf numFmtId="3" fontId="54" fillId="0" borderId="51" xfId="0" applyNumberFormat="1" applyFont="1" applyBorder="1" applyAlignment="1">
      <alignment horizontal="center" vertical="center"/>
    </xf>
    <xf numFmtId="0" fontId="51" fillId="0" borderId="66" xfId="0" applyFont="1" applyBorder="1" applyAlignment="1">
      <alignment horizontal="center" vertical="center"/>
    </xf>
    <xf numFmtId="0" fontId="53" fillId="0" borderId="62" xfId="0" applyFont="1" applyBorder="1" applyAlignment="1">
      <alignment horizontal="center" vertical="center"/>
    </xf>
    <xf numFmtId="3" fontId="54" fillId="0" borderId="62" xfId="0" applyNumberFormat="1" applyFont="1" applyBorder="1" applyAlignment="1">
      <alignment horizontal="center" vertical="center"/>
    </xf>
    <xf numFmtId="49" fontId="8" fillId="5" borderId="28" xfId="0" applyNumberFormat="1" applyFont="1" applyFill="1" applyBorder="1" applyAlignment="1">
      <alignment horizontal="center" vertical="center"/>
    </xf>
    <xf numFmtId="0" fontId="27" fillId="5" borderId="35" xfId="0" applyFont="1" applyFill="1" applyBorder="1" applyAlignment="1">
      <alignment horizontal="left" vertical="center" wrapText="1"/>
    </xf>
    <xf numFmtId="0" fontId="10" fillId="5" borderId="32" xfId="0" applyFont="1" applyFill="1" applyBorder="1" applyAlignment="1">
      <alignment horizontal="center" vertical="center" wrapText="1"/>
    </xf>
    <xf numFmtId="4" fontId="37" fillId="5" borderId="28" xfId="0" applyNumberFormat="1" applyFont="1" applyFill="1" applyBorder="1" applyAlignment="1">
      <alignment horizontal="center" vertical="center"/>
    </xf>
    <xf numFmtId="4" fontId="37" fillId="5" borderId="33" xfId="0" applyNumberFormat="1" applyFont="1" applyFill="1" applyBorder="1" applyAlignment="1">
      <alignment horizontal="center" vertical="center"/>
    </xf>
    <xf numFmtId="4" fontId="37" fillId="5" borderId="34" xfId="0" applyNumberFormat="1" applyFont="1" applyFill="1" applyBorder="1" applyAlignment="1">
      <alignment horizontal="center" vertical="center"/>
    </xf>
    <xf numFmtId="10" fontId="38" fillId="5" borderId="35" xfId="1" applyNumberFormat="1" applyFont="1" applyFill="1" applyBorder="1" applyAlignment="1">
      <alignment horizontal="center" vertical="center"/>
    </xf>
    <xf numFmtId="10" fontId="38" fillId="5" borderId="32" xfId="1" applyNumberFormat="1" applyFont="1" applyFill="1" applyBorder="1" applyAlignment="1">
      <alignment horizontal="center" vertical="center"/>
    </xf>
    <xf numFmtId="4" fontId="37" fillId="5" borderId="35" xfId="0" applyNumberFormat="1" applyFont="1" applyFill="1" applyBorder="1" applyAlignment="1">
      <alignment horizontal="center" vertical="center"/>
    </xf>
    <xf numFmtId="4" fontId="37" fillId="5" borderId="58" xfId="0" applyNumberFormat="1" applyFont="1" applyFill="1" applyBorder="1" applyAlignment="1">
      <alignment horizontal="center" vertical="center"/>
    </xf>
    <xf numFmtId="164" fontId="28" fillId="5" borderId="51" xfId="1" applyNumberFormat="1" applyFont="1" applyFill="1" applyBorder="1" applyAlignment="1">
      <alignment horizontal="center" vertical="center"/>
    </xf>
    <xf numFmtId="164" fontId="43" fillId="5" borderId="33" xfId="0" applyNumberFormat="1" applyFont="1" applyFill="1" applyBorder="1"/>
    <xf numFmtId="0" fontId="0" fillId="5" borderId="33" xfId="0" applyFill="1" applyBorder="1"/>
    <xf numFmtId="2" fontId="5" fillId="5" borderId="0" xfId="0" applyNumberFormat="1" applyFont="1" applyFill="1" applyBorder="1"/>
    <xf numFmtId="0" fontId="0" fillId="5" borderId="0" xfId="0" applyFill="1" applyBorder="1"/>
    <xf numFmtId="4" fontId="37" fillId="8" borderId="6" xfId="0" applyNumberFormat="1" applyFont="1" applyFill="1" applyBorder="1" applyAlignment="1">
      <alignment horizontal="center" vertical="center"/>
    </xf>
    <xf numFmtId="4" fontId="37" fillId="9" borderId="1" xfId="0" applyNumberFormat="1" applyFont="1" applyFill="1" applyBorder="1" applyAlignment="1">
      <alignment horizontal="center" vertical="center"/>
    </xf>
    <xf numFmtId="4" fontId="37" fillId="8" borderId="9" xfId="0" applyNumberFormat="1" applyFont="1" applyFill="1" applyBorder="1" applyAlignment="1">
      <alignment horizontal="center" vertical="center"/>
    </xf>
    <xf numFmtId="4" fontId="37" fillId="0" borderId="10" xfId="0" applyNumberFormat="1" applyFont="1" applyFill="1" applyBorder="1" applyAlignment="1">
      <alignment horizontal="center" vertical="center"/>
    </xf>
    <xf numFmtId="4" fontId="37" fillId="9" borderId="66" xfId="0" applyNumberFormat="1" applyFont="1" applyFill="1" applyBorder="1" applyAlignment="1">
      <alignment horizontal="center" vertical="center"/>
    </xf>
    <xf numFmtId="4" fontId="37" fillId="0" borderId="63" xfId="0" applyNumberFormat="1" applyFont="1" applyFill="1" applyBorder="1" applyAlignment="1">
      <alignment horizontal="center" vertical="center"/>
    </xf>
    <xf numFmtId="0" fontId="60" fillId="0" borderId="0" xfId="0" applyFont="1" applyAlignment="1">
      <alignment horizontal="right" vertical="center"/>
    </xf>
    <xf numFmtId="0" fontId="8" fillId="10" borderId="28" xfId="0" applyFont="1" applyFill="1" applyBorder="1" applyAlignment="1">
      <alignment horizontal="center" wrapText="1"/>
    </xf>
    <xf numFmtId="0" fontId="8" fillId="10" borderId="33" xfId="0" applyFont="1" applyFill="1" applyBorder="1" applyAlignment="1">
      <alignment horizontal="center" vertical="center" wrapText="1"/>
    </xf>
    <xf numFmtId="0" fontId="12" fillId="10" borderId="14" xfId="0" applyFont="1" applyFill="1" applyBorder="1" applyAlignment="1">
      <alignment horizontal="center" vertical="center" wrapText="1"/>
    </xf>
    <xf numFmtId="0" fontId="12" fillId="10" borderId="41" xfId="0" applyFont="1" applyFill="1" applyBorder="1" applyAlignment="1">
      <alignment horizontal="center" vertical="center" wrapText="1"/>
    </xf>
    <xf numFmtId="4" fontId="16" fillId="10" borderId="52" xfId="0" applyNumberFormat="1" applyFont="1" applyFill="1" applyBorder="1" applyAlignment="1">
      <alignment horizontal="center" vertical="center"/>
    </xf>
    <xf numFmtId="4" fontId="16" fillId="10" borderId="45" xfId="0" applyNumberFormat="1" applyFont="1" applyFill="1" applyBorder="1" applyAlignment="1">
      <alignment horizontal="center" vertical="center"/>
    </xf>
    <xf numFmtId="4" fontId="15" fillId="10" borderId="46" xfId="0" applyNumberFormat="1" applyFont="1" applyFill="1" applyBorder="1" applyAlignment="1">
      <alignment horizontal="center" vertical="center"/>
    </xf>
    <xf numFmtId="4" fontId="15" fillId="10" borderId="50" xfId="0" applyNumberFormat="1" applyFont="1" applyFill="1" applyBorder="1" applyAlignment="1">
      <alignment horizontal="center" vertical="center"/>
    </xf>
    <xf numFmtId="4" fontId="21" fillId="10" borderId="46" xfId="0" applyNumberFormat="1" applyFont="1" applyFill="1" applyBorder="1" applyAlignment="1">
      <alignment horizontal="center" vertical="center"/>
    </xf>
    <xf numFmtId="4" fontId="21" fillId="10" borderId="50" xfId="0" applyNumberFormat="1" applyFont="1" applyFill="1" applyBorder="1" applyAlignment="1">
      <alignment horizontal="center" vertical="center"/>
    </xf>
    <xf numFmtId="4" fontId="16" fillId="10" borderId="46" xfId="0" applyNumberFormat="1" applyFont="1" applyFill="1" applyBorder="1" applyAlignment="1">
      <alignment horizontal="center" vertical="center"/>
    </xf>
    <xf numFmtId="4" fontId="16" fillId="10" borderId="50" xfId="0" applyNumberFormat="1" applyFont="1" applyFill="1" applyBorder="1" applyAlignment="1">
      <alignment horizontal="center" vertical="center"/>
    </xf>
    <xf numFmtId="4" fontId="10" fillId="10" borderId="46" xfId="0" applyNumberFormat="1" applyFont="1" applyFill="1" applyBorder="1" applyAlignment="1">
      <alignment horizontal="center" vertical="center"/>
    </xf>
    <xf numFmtId="4" fontId="10" fillId="10" borderId="50" xfId="0" applyNumberFormat="1" applyFont="1" applyFill="1" applyBorder="1" applyAlignment="1">
      <alignment horizontal="center" vertical="center"/>
    </xf>
    <xf numFmtId="4" fontId="24" fillId="10" borderId="46" xfId="0" applyNumberFormat="1" applyFont="1" applyFill="1" applyBorder="1" applyAlignment="1">
      <alignment horizontal="center" vertical="center"/>
    </xf>
    <xf numFmtId="4" fontId="24" fillId="10" borderId="50" xfId="0" applyNumberFormat="1" applyFont="1" applyFill="1" applyBorder="1" applyAlignment="1">
      <alignment horizontal="center" vertical="center"/>
    </xf>
    <xf numFmtId="4" fontId="31" fillId="10" borderId="28" xfId="0" applyNumberFormat="1" applyFont="1" applyFill="1" applyBorder="1" applyAlignment="1">
      <alignment horizontal="center" vertical="center"/>
    </xf>
    <xf numFmtId="4" fontId="31" fillId="10" borderId="33" xfId="0" applyNumberFormat="1" applyFont="1" applyFill="1" applyBorder="1" applyAlignment="1">
      <alignment horizontal="center" vertical="center"/>
    </xf>
    <xf numFmtId="4" fontId="37" fillId="10" borderId="14" xfId="0" applyNumberFormat="1" applyFont="1" applyFill="1" applyBorder="1" applyAlignment="1">
      <alignment horizontal="center" vertical="center"/>
    </xf>
    <xf numFmtId="4" fontId="37" fillId="10" borderId="41" xfId="0" applyNumberFormat="1" applyFont="1" applyFill="1" applyBorder="1" applyAlignment="1">
      <alignment horizontal="center" vertical="center"/>
    </xf>
    <xf numFmtId="4" fontId="15" fillId="10" borderId="52" xfId="0" applyNumberFormat="1" applyFont="1" applyFill="1" applyBorder="1" applyAlignment="1">
      <alignment horizontal="center" vertical="center"/>
    </xf>
    <xf numFmtId="4" fontId="15" fillId="10" borderId="45" xfId="0" applyNumberFormat="1" applyFont="1" applyFill="1" applyBorder="1" applyAlignment="1">
      <alignment horizontal="center" vertical="center"/>
    </xf>
    <xf numFmtId="4" fontId="37" fillId="10" borderId="52" xfId="0" applyNumberFormat="1" applyFont="1" applyFill="1" applyBorder="1" applyAlignment="1">
      <alignment horizontal="center" vertical="center"/>
    </xf>
    <xf numFmtId="4" fontId="37" fillId="10" borderId="45" xfId="0" applyNumberFormat="1" applyFont="1" applyFill="1" applyBorder="1" applyAlignment="1">
      <alignment horizontal="center" vertical="center"/>
    </xf>
    <xf numFmtId="4" fontId="37" fillId="10" borderId="46" xfId="0" applyNumberFormat="1" applyFont="1" applyFill="1" applyBorder="1" applyAlignment="1">
      <alignment horizontal="center" vertical="center"/>
    </xf>
    <xf numFmtId="4" fontId="37" fillId="10" borderId="50" xfId="0" applyNumberFormat="1" applyFont="1" applyFill="1" applyBorder="1" applyAlignment="1">
      <alignment horizontal="center" vertical="center"/>
    </xf>
    <xf numFmtId="4" fontId="34" fillId="10" borderId="46" xfId="0" applyNumberFormat="1" applyFont="1" applyFill="1" applyBorder="1" applyAlignment="1">
      <alignment horizontal="center" vertical="center"/>
    </xf>
    <xf numFmtId="4" fontId="34" fillId="10" borderId="50" xfId="0" applyNumberFormat="1" applyFont="1" applyFill="1" applyBorder="1" applyAlignment="1">
      <alignment horizontal="center" vertical="center"/>
    </xf>
    <xf numFmtId="4" fontId="37" fillId="10" borderId="28" xfId="0" applyNumberFormat="1" applyFont="1" applyFill="1" applyBorder="1" applyAlignment="1">
      <alignment horizontal="center" vertical="center"/>
    </xf>
    <xf numFmtId="4" fontId="37" fillId="10" borderId="33" xfId="0" applyNumberFormat="1" applyFont="1" applyFill="1" applyBorder="1" applyAlignment="1">
      <alignment horizontal="center" vertical="center"/>
    </xf>
    <xf numFmtId="4" fontId="37" fillId="10" borderId="64" xfId="0" applyNumberFormat="1" applyFont="1" applyFill="1" applyBorder="1" applyAlignment="1">
      <alignment horizontal="center" vertical="center"/>
    </xf>
    <xf numFmtId="4" fontId="37" fillId="10" borderId="19" xfId="0" applyNumberFormat="1" applyFont="1" applyFill="1" applyBorder="1" applyAlignment="1">
      <alignment horizontal="center" vertical="center"/>
    </xf>
    <xf numFmtId="4" fontId="37" fillId="10" borderId="65" xfId="0" applyNumberFormat="1" applyFont="1" applyFill="1" applyBorder="1" applyAlignment="1">
      <alignment horizontal="center" vertical="center"/>
    </xf>
    <xf numFmtId="4" fontId="37" fillId="10" borderId="7" xfId="0" applyNumberFormat="1" applyFont="1" applyFill="1" applyBorder="1" applyAlignment="1">
      <alignment horizontal="center" vertical="center"/>
    </xf>
    <xf numFmtId="4" fontId="10" fillId="0" borderId="51" xfId="0" applyNumberFormat="1" applyFont="1" applyFill="1" applyBorder="1" applyAlignment="1">
      <alignment horizontal="center" vertical="center"/>
    </xf>
    <xf numFmtId="0" fontId="8" fillId="0" borderId="55" xfId="0" applyFont="1" applyFill="1" applyBorder="1" applyAlignment="1">
      <alignment horizontal="left" vertical="center" wrapText="1"/>
    </xf>
    <xf numFmtId="0" fontId="8" fillId="0" borderId="53" xfId="0" applyFont="1" applyFill="1" applyBorder="1" applyAlignment="1">
      <alignment horizontal="left" vertical="center" wrapText="1"/>
    </xf>
    <xf numFmtId="49" fontId="8" fillId="8" borderId="46" xfId="0" applyNumberFormat="1" applyFont="1" applyFill="1" applyBorder="1" applyAlignment="1">
      <alignment horizontal="center" vertical="center"/>
    </xf>
    <xf numFmtId="4" fontId="24" fillId="0" borderId="43" xfId="1" applyNumberFormat="1" applyFont="1" applyFill="1" applyBorder="1" applyAlignment="1">
      <alignment horizontal="center" vertical="center"/>
    </xf>
    <xf numFmtId="49" fontId="10" fillId="0" borderId="52" xfId="0" applyNumberFormat="1" applyFont="1" applyFill="1" applyBorder="1" applyAlignment="1">
      <alignment horizontal="center" vertical="center"/>
    </xf>
    <xf numFmtId="4" fontId="31" fillId="10" borderId="21" xfId="0" applyNumberFormat="1" applyFont="1" applyFill="1" applyBorder="1" applyAlignment="1">
      <alignment horizontal="center" vertical="center"/>
    </xf>
    <xf numFmtId="4" fontId="31" fillId="10" borderId="27" xfId="0" applyNumberFormat="1" applyFont="1" applyFill="1" applyBorder="1" applyAlignment="1">
      <alignment horizontal="center" vertical="center"/>
    </xf>
    <xf numFmtId="4" fontId="39" fillId="0" borderId="23" xfId="0" applyNumberFormat="1" applyFont="1" applyFill="1" applyBorder="1" applyAlignment="1">
      <alignment horizontal="center" vertical="center"/>
    </xf>
    <xf numFmtId="10" fontId="33" fillId="0" borderId="22" xfId="1" applyNumberFormat="1" applyFont="1" applyFill="1" applyBorder="1" applyAlignment="1">
      <alignment horizontal="center" vertical="center"/>
    </xf>
    <xf numFmtId="4" fontId="39" fillId="0" borderId="21" xfId="0" applyNumberFormat="1" applyFont="1" applyFill="1" applyBorder="1" applyAlignment="1">
      <alignment horizontal="center" vertical="center"/>
    </xf>
    <xf numFmtId="10" fontId="33" fillId="0" borderId="26" xfId="1" applyNumberFormat="1" applyFont="1" applyFill="1" applyBorder="1" applyAlignment="1">
      <alignment horizontal="center" vertical="center"/>
    </xf>
    <xf numFmtId="4" fontId="34" fillId="0" borderId="26" xfId="0" applyNumberFormat="1" applyFont="1" applyFill="1" applyBorder="1" applyAlignment="1">
      <alignment horizontal="center" vertical="center"/>
    </xf>
    <xf numFmtId="4" fontId="26" fillId="0" borderId="20" xfId="1" applyNumberFormat="1" applyFont="1" applyFill="1" applyBorder="1" applyAlignment="1">
      <alignment horizontal="center" vertical="center"/>
    </xf>
    <xf numFmtId="4" fontId="26" fillId="0" borderId="22" xfId="1" applyNumberFormat="1" applyFont="1" applyFill="1" applyBorder="1" applyAlignment="1">
      <alignment horizontal="center" vertical="center"/>
    </xf>
    <xf numFmtId="4" fontId="26" fillId="0" borderId="27" xfId="1" applyNumberFormat="1" applyFont="1" applyFill="1" applyBorder="1" applyAlignment="1">
      <alignment horizontal="center" vertical="center"/>
    </xf>
    <xf numFmtId="4" fontId="31" fillId="0" borderId="20" xfId="0" applyNumberFormat="1" applyFont="1" applyFill="1" applyBorder="1" applyAlignment="1">
      <alignment horizontal="center" vertical="center"/>
    </xf>
    <xf numFmtId="164" fontId="32" fillId="0" borderId="27" xfId="0" applyNumberFormat="1" applyFont="1" applyFill="1" applyBorder="1" applyAlignment="1">
      <alignment horizontal="center" vertical="center"/>
    </xf>
    <xf numFmtId="164" fontId="54" fillId="0" borderId="51" xfId="0" applyNumberFormat="1" applyFont="1" applyBorder="1" applyAlignment="1">
      <alignment horizontal="center" vertical="center"/>
    </xf>
    <xf numFmtId="164" fontId="54" fillId="0" borderId="50" xfId="0" applyNumberFormat="1" applyFont="1" applyBorder="1" applyAlignment="1">
      <alignment horizontal="center" vertical="center"/>
    </xf>
    <xf numFmtId="164" fontId="54" fillId="0" borderId="62" xfId="0" applyNumberFormat="1" applyFont="1" applyBorder="1" applyAlignment="1">
      <alignment horizontal="center" vertical="center"/>
    </xf>
    <xf numFmtId="164" fontId="54" fillId="0" borderId="63" xfId="0" applyNumberFormat="1" applyFont="1" applyBorder="1" applyAlignment="1">
      <alignment horizontal="center" vertical="center"/>
    </xf>
    <xf numFmtId="0" fontId="27" fillId="8" borderId="15" xfId="0" applyFont="1" applyFill="1" applyBorder="1" applyAlignment="1">
      <alignment horizontal="left" vertical="center" wrapText="1"/>
    </xf>
    <xf numFmtId="0" fontId="23" fillId="0" borderId="0" xfId="0" applyFont="1" applyFill="1" applyAlignment="1">
      <alignment horizontal="left" wrapText="1"/>
    </xf>
    <xf numFmtId="0" fontId="48" fillId="0" borderId="30" xfId="0" applyFont="1" applyFill="1" applyBorder="1" applyAlignment="1">
      <alignment horizontal="center" vertical="center" wrapText="1"/>
    </xf>
    <xf numFmtId="0" fontId="24" fillId="0" borderId="13" xfId="0" applyFont="1" applyFill="1" applyBorder="1" applyAlignment="1">
      <alignment horizontal="center" vertical="center" wrapText="1"/>
    </xf>
    <xf numFmtId="0" fontId="24" fillId="0" borderId="12" xfId="0" applyFont="1" applyFill="1" applyBorder="1" applyAlignment="1">
      <alignment horizontal="center" vertical="center" wrapText="1"/>
    </xf>
    <xf numFmtId="0" fontId="24" fillId="0" borderId="15" xfId="0" applyFont="1" applyFill="1" applyBorder="1" applyAlignment="1">
      <alignment horizontal="center" vertical="center" wrapText="1"/>
    </xf>
    <xf numFmtId="0" fontId="24" fillId="0" borderId="41" xfId="0" applyFont="1" applyFill="1" applyBorder="1" applyAlignment="1">
      <alignment horizontal="center" vertical="center" wrapText="1"/>
    </xf>
    <xf numFmtId="0" fontId="54" fillId="0" borderId="54" xfId="0" applyFont="1" applyBorder="1" applyAlignment="1">
      <alignment horizontal="center" vertical="center"/>
    </xf>
    <xf numFmtId="0" fontId="54" fillId="0" borderId="45" xfId="0" applyFont="1" applyBorder="1" applyAlignment="1">
      <alignment horizontal="center" vertical="center"/>
    </xf>
    <xf numFmtId="0" fontId="27" fillId="0" borderId="47" xfId="0" applyFont="1" applyFill="1" applyBorder="1" applyAlignment="1">
      <alignment horizontal="left" vertical="center" wrapText="1"/>
    </xf>
    <xf numFmtId="0" fontId="27" fillId="0" borderId="48" xfId="0" applyFont="1" applyFill="1" applyBorder="1" applyAlignment="1">
      <alignment horizontal="left" vertical="center" wrapText="1"/>
    </xf>
    <xf numFmtId="0" fontId="27" fillId="0" borderId="49" xfId="0" applyFont="1" applyFill="1" applyBorder="1" applyAlignment="1">
      <alignment horizontal="left" vertical="center" wrapText="1"/>
    </xf>
    <xf numFmtId="0" fontId="27" fillId="0" borderId="32" xfId="0" applyFont="1" applyFill="1" applyBorder="1" applyAlignment="1">
      <alignment horizontal="left" vertical="center" wrapText="1"/>
    </xf>
    <xf numFmtId="0" fontId="27" fillId="0" borderId="57" xfId="0" applyFont="1" applyFill="1" applyBorder="1" applyAlignment="1">
      <alignment horizontal="left" vertical="center" wrapText="1"/>
    </xf>
    <xf numFmtId="0" fontId="27" fillId="0" borderId="34" xfId="0" applyFont="1" applyFill="1" applyBorder="1" applyAlignment="1">
      <alignment horizontal="left" vertical="center" wrapText="1"/>
    </xf>
    <xf numFmtId="0" fontId="27" fillId="5" borderId="35" xfId="0" applyFont="1" applyFill="1" applyBorder="1" applyAlignment="1">
      <alignment horizontal="left" vertical="center" wrapText="1"/>
    </xf>
    <xf numFmtId="0" fontId="27" fillId="8" borderId="35" xfId="0" applyFont="1" applyFill="1" applyBorder="1" applyAlignment="1">
      <alignment horizontal="left" vertical="center" wrapText="1"/>
    </xf>
    <xf numFmtId="0" fontId="24" fillId="8" borderId="13" xfId="0" applyFont="1" applyFill="1" applyBorder="1" applyAlignment="1">
      <alignment horizontal="left" vertical="center" wrapText="1"/>
    </xf>
    <xf numFmtId="0" fontId="16" fillId="0" borderId="0" xfId="0" applyFont="1" applyFill="1" applyAlignment="1">
      <alignment horizontal="left" vertical="center" wrapText="1"/>
    </xf>
    <xf numFmtId="0" fontId="24" fillId="5" borderId="16" xfId="0" applyFont="1" applyFill="1" applyBorder="1" applyAlignment="1">
      <alignment horizontal="left" vertical="center" wrapText="1"/>
    </xf>
    <xf numFmtId="0" fontId="24" fillId="5" borderId="18" xfId="0" applyFont="1" applyFill="1" applyBorder="1" applyAlignment="1">
      <alignment horizontal="left" vertical="center" wrapText="1"/>
    </xf>
    <xf numFmtId="0" fontId="24" fillId="5" borderId="40" xfId="0" applyFont="1" applyFill="1" applyBorder="1" applyAlignment="1">
      <alignment horizontal="left" vertical="center" wrapText="1"/>
    </xf>
    <xf numFmtId="0" fontId="24" fillId="7" borderId="5" xfId="0" applyFont="1" applyFill="1" applyBorder="1" applyAlignment="1">
      <alignment horizontal="left" vertical="center" wrapText="1"/>
    </xf>
    <xf numFmtId="0" fontId="24" fillId="7" borderId="42" xfId="0" applyFont="1" applyFill="1" applyBorder="1" applyAlignment="1">
      <alignment horizontal="left" vertical="center" wrapText="1"/>
    </xf>
    <xf numFmtId="0" fontId="24" fillId="7" borderId="8" xfId="0" applyFont="1" applyFill="1" applyBorder="1" applyAlignment="1">
      <alignment horizontal="left" vertical="center" wrapText="1"/>
    </xf>
    <xf numFmtId="0" fontId="24" fillId="0" borderId="47" xfId="0" applyFont="1" applyFill="1" applyBorder="1" applyAlignment="1">
      <alignment horizontal="left" vertical="center" wrapText="1"/>
    </xf>
    <xf numFmtId="0" fontId="24" fillId="0" borderId="48" xfId="0" applyFont="1" applyFill="1" applyBorder="1" applyAlignment="1">
      <alignment horizontal="left" vertical="center" wrapText="1"/>
    </xf>
    <xf numFmtId="0" fontId="24" fillId="0" borderId="49" xfId="0" applyFont="1" applyFill="1" applyBorder="1" applyAlignment="1">
      <alignment horizontal="left" vertical="center" wrapText="1"/>
    </xf>
    <xf numFmtId="0" fontId="24" fillId="7" borderId="47" xfId="0" applyFont="1" applyFill="1" applyBorder="1" applyAlignment="1">
      <alignment horizontal="left" vertical="center" wrapText="1"/>
    </xf>
    <xf numFmtId="0" fontId="24" fillId="7" borderId="48" xfId="0" applyFont="1" applyFill="1" applyBorder="1" applyAlignment="1">
      <alignment horizontal="left" vertical="center" wrapText="1"/>
    </xf>
    <xf numFmtId="0" fontId="24" fillId="7" borderId="49" xfId="0" applyFont="1" applyFill="1" applyBorder="1" applyAlignment="1">
      <alignment horizontal="left" vertical="center" wrapText="1"/>
    </xf>
    <xf numFmtId="0" fontId="8" fillId="0" borderId="44" xfId="0" applyFont="1" applyFill="1" applyBorder="1" applyAlignment="1">
      <alignment horizontal="left" vertical="center" wrapText="1"/>
    </xf>
    <xf numFmtId="0" fontId="8" fillId="0" borderId="55" xfId="0" applyFont="1" applyFill="1" applyBorder="1" applyAlignment="1">
      <alignment horizontal="left" vertical="center" wrapText="1"/>
    </xf>
    <xf numFmtId="0" fontId="8" fillId="0" borderId="53" xfId="0" applyFont="1" applyFill="1" applyBorder="1" applyAlignment="1">
      <alignment horizontal="left" vertical="center" wrapText="1"/>
    </xf>
    <xf numFmtId="0" fontId="10" fillId="0" borderId="47" xfId="0" applyFont="1" applyFill="1" applyBorder="1" applyAlignment="1">
      <alignment horizontal="left" vertical="center" wrapText="1"/>
    </xf>
    <xf numFmtId="0" fontId="10" fillId="0" borderId="48" xfId="0" applyFont="1" applyFill="1" applyBorder="1" applyAlignment="1">
      <alignment horizontal="left" vertical="center" wrapText="1"/>
    </xf>
    <xf numFmtId="0" fontId="10" fillId="0" borderId="49" xfId="0" applyFont="1" applyFill="1" applyBorder="1" applyAlignment="1">
      <alignment horizontal="left" vertical="center" wrapText="1"/>
    </xf>
    <xf numFmtId="0" fontId="61" fillId="0" borderId="59" xfId="0" applyFont="1" applyFill="1" applyBorder="1" applyAlignment="1">
      <alignment horizontal="left" vertical="center" wrapText="1"/>
    </xf>
    <xf numFmtId="0" fontId="61" fillId="0" borderId="60" xfId="0" applyFont="1" applyFill="1" applyBorder="1" applyAlignment="1">
      <alignment horizontal="left" vertical="center" wrapText="1"/>
    </xf>
    <xf numFmtId="0" fontId="61" fillId="0" borderId="61" xfId="0" applyFont="1" applyFill="1" applyBorder="1" applyAlignment="1">
      <alignment horizontal="left" vertical="center" wrapText="1"/>
    </xf>
    <xf numFmtId="0" fontId="30" fillId="0" borderId="32" xfId="0" applyFont="1" applyFill="1" applyBorder="1" applyAlignment="1">
      <alignment horizontal="left" vertical="center" wrapText="1"/>
    </xf>
    <xf numFmtId="0" fontId="30" fillId="0" borderId="57" xfId="0" applyFont="1" applyFill="1" applyBorder="1" applyAlignment="1">
      <alignment horizontal="left" vertical="center" wrapText="1"/>
    </xf>
    <xf numFmtId="0" fontId="30" fillId="0" borderId="34" xfId="0" applyFont="1" applyFill="1" applyBorder="1" applyAlignment="1">
      <alignment horizontal="left" vertical="center" wrapText="1"/>
    </xf>
    <xf numFmtId="0" fontId="24" fillId="2" borderId="16" xfId="0" applyFont="1" applyFill="1" applyBorder="1" applyAlignment="1">
      <alignment horizontal="center" vertical="center" wrapText="1"/>
    </xf>
    <xf numFmtId="0" fontId="24" fillId="2" borderId="18" xfId="0" applyFont="1" applyFill="1" applyBorder="1" applyAlignment="1">
      <alignment horizontal="center" vertical="center" wrapText="1"/>
    </xf>
    <xf numFmtId="0" fontId="24" fillId="2" borderId="40" xfId="0" applyFont="1" applyFill="1" applyBorder="1" applyAlignment="1">
      <alignment horizontal="center" vertical="center" wrapText="1"/>
    </xf>
    <xf numFmtId="0" fontId="8" fillId="3" borderId="47" xfId="0" applyFont="1" applyFill="1" applyBorder="1" applyAlignment="1">
      <alignment horizontal="left" vertical="center" wrapText="1"/>
    </xf>
    <xf numFmtId="0" fontId="8" fillId="3" borderId="48" xfId="0" applyFont="1" applyFill="1" applyBorder="1" applyAlignment="1">
      <alignment horizontal="left" vertical="center" wrapText="1"/>
    </xf>
    <xf numFmtId="0" fontId="8" fillId="3" borderId="49" xfId="0" applyFont="1" applyFill="1" applyBorder="1" applyAlignment="1">
      <alignment horizontal="left" vertical="center" wrapText="1"/>
    </xf>
    <xf numFmtId="0" fontId="8" fillId="0" borderId="47" xfId="0" applyFont="1" applyFill="1" applyBorder="1" applyAlignment="1">
      <alignment horizontal="left" vertical="center" wrapText="1"/>
    </xf>
    <xf numFmtId="0" fontId="8" fillId="0" borderId="48" xfId="0" applyFont="1" applyFill="1" applyBorder="1" applyAlignment="1">
      <alignment horizontal="left" vertical="center" wrapText="1"/>
    </xf>
    <xf numFmtId="0" fontId="8" fillId="0" borderId="49" xfId="0" applyFont="1" applyFill="1" applyBorder="1" applyAlignment="1">
      <alignment horizontal="left" vertical="center" wrapText="1"/>
    </xf>
    <xf numFmtId="49" fontId="10" fillId="0" borderId="47" xfId="0" applyNumberFormat="1" applyFont="1" applyFill="1" applyBorder="1" applyAlignment="1">
      <alignment horizontal="left" vertical="center" wrapText="1"/>
    </xf>
    <xf numFmtId="49" fontId="10" fillId="0" borderId="48" xfId="0" applyNumberFormat="1" applyFont="1" applyFill="1" applyBorder="1" applyAlignment="1">
      <alignment horizontal="left" vertical="center" wrapText="1"/>
    </xf>
    <xf numFmtId="49" fontId="10" fillId="0" borderId="49" xfId="0" applyNumberFormat="1" applyFont="1" applyFill="1" applyBorder="1" applyAlignment="1">
      <alignment horizontal="left" vertical="center" wrapText="1"/>
    </xf>
    <xf numFmtId="0" fontId="25" fillId="0" borderId="47" xfId="0" applyFont="1" applyFill="1" applyBorder="1" applyAlignment="1">
      <alignment horizontal="left" vertical="center" wrapText="1"/>
    </xf>
    <xf numFmtId="0" fontId="25" fillId="0" borderId="48" xfId="0" applyFont="1" applyFill="1" applyBorder="1" applyAlignment="1">
      <alignment horizontal="left" vertical="center" wrapText="1"/>
    </xf>
    <xf numFmtId="0" fontId="25" fillId="0" borderId="49" xfId="0" applyFont="1" applyFill="1" applyBorder="1" applyAlignment="1">
      <alignment horizontal="left" vertical="center" wrapText="1"/>
    </xf>
    <xf numFmtId="4" fontId="10" fillId="0" borderId="46" xfId="0" applyNumberFormat="1" applyFont="1" applyFill="1" applyBorder="1" applyAlignment="1">
      <alignment horizontal="center" vertical="center"/>
    </xf>
    <xf numFmtId="4" fontId="10" fillId="0" borderId="51" xfId="0" applyNumberFormat="1" applyFont="1" applyFill="1" applyBorder="1" applyAlignment="1">
      <alignment horizontal="center" vertical="center"/>
    </xf>
    <xf numFmtId="4" fontId="10" fillId="0" borderId="43" xfId="0" applyNumberFormat="1" applyFont="1" applyFill="1" applyBorder="1" applyAlignment="1">
      <alignment horizontal="center" vertical="center"/>
    </xf>
    <xf numFmtId="4" fontId="10" fillId="0" borderId="56" xfId="0" applyNumberFormat="1" applyFont="1" applyFill="1" applyBorder="1" applyAlignment="1">
      <alignment horizontal="center" vertical="center"/>
    </xf>
    <xf numFmtId="0" fontId="30" fillId="0" borderId="59" xfId="0" applyFont="1" applyFill="1" applyBorder="1" applyAlignment="1">
      <alignment horizontal="left" vertical="center" wrapText="1"/>
    </xf>
    <xf numFmtId="0" fontId="30" fillId="0" borderId="60" xfId="0" applyFont="1" applyFill="1" applyBorder="1" applyAlignment="1">
      <alignment horizontal="left" vertical="center" wrapText="1"/>
    </xf>
    <xf numFmtId="0" fontId="30" fillId="0" borderId="61" xfId="0" applyFont="1" applyFill="1" applyBorder="1" applyAlignment="1">
      <alignment horizontal="left" vertical="center" wrapText="1"/>
    </xf>
    <xf numFmtId="0" fontId="12" fillId="0" borderId="16" xfId="0" applyFont="1" applyFill="1" applyBorder="1" applyAlignment="1">
      <alignment horizontal="center" vertical="center" wrapText="1"/>
    </xf>
    <xf numFmtId="0" fontId="12" fillId="0" borderId="18" xfId="0" applyFont="1" applyFill="1" applyBorder="1" applyAlignment="1">
      <alignment horizontal="center" vertical="center" wrapText="1"/>
    </xf>
    <xf numFmtId="0" fontId="12" fillId="0" borderId="40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30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29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8" fillId="0" borderId="36" xfId="0" applyFont="1" applyFill="1" applyBorder="1" applyAlignment="1">
      <alignment horizontal="center" vertical="center" wrapText="1"/>
    </xf>
    <xf numFmtId="0" fontId="10" fillId="0" borderId="12" xfId="0" applyFont="1" applyFill="1" applyBorder="1" applyAlignment="1">
      <alignment horizontal="center" vertical="center" wrapText="1"/>
    </xf>
    <xf numFmtId="0" fontId="10" fillId="0" borderId="37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9" fillId="0" borderId="23" xfId="0" applyFont="1" applyFill="1" applyBorder="1" applyAlignment="1">
      <alignment horizontal="center" vertical="center" wrapText="1"/>
    </xf>
    <xf numFmtId="0" fontId="9" fillId="0" borderId="3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22" xfId="0" applyFont="1" applyFill="1" applyBorder="1" applyAlignment="1">
      <alignment horizontal="center" vertical="center" wrapText="1"/>
    </xf>
    <xf numFmtId="0" fontId="8" fillId="0" borderId="32" xfId="0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 wrapText="1"/>
    </xf>
    <xf numFmtId="0" fontId="8" fillId="0" borderId="15" xfId="0" applyFont="1" applyFill="1" applyBorder="1" applyAlignment="1">
      <alignment horizontal="center" vertical="center" wrapText="1"/>
    </xf>
    <xf numFmtId="0" fontId="8" fillId="0" borderId="16" xfId="0" applyFont="1" applyFill="1" applyBorder="1" applyAlignment="1">
      <alignment horizontal="center" vertical="center" wrapText="1"/>
    </xf>
    <xf numFmtId="0" fontId="8" fillId="0" borderId="17" xfId="0" applyFont="1" applyFill="1" applyBorder="1" applyAlignment="1">
      <alignment horizontal="center" vertical="center" wrapText="1"/>
    </xf>
    <xf numFmtId="0" fontId="8" fillId="0" borderId="18" xfId="0" applyFont="1" applyFill="1" applyBorder="1" applyAlignment="1">
      <alignment horizontal="center" vertical="center" wrapText="1"/>
    </xf>
    <xf numFmtId="0" fontId="8" fillId="0" borderId="19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8" fillId="0" borderId="38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39" xfId="0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 vertical="center" wrapText="1"/>
    </xf>
    <xf numFmtId="0" fontId="10" fillId="0" borderId="38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right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21" xfId="0" applyFont="1" applyFill="1" applyBorder="1" applyAlignment="1">
      <alignment horizontal="center" vertical="center" wrapText="1"/>
    </xf>
    <xf numFmtId="0" fontId="7" fillId="0" borderId="28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23" xfId="0" applyFont="1" applyFill="1" applyBorder="1" applyAlignment="1">
      <alignment horizontal="center" vertical="center" wrapText="1"/>
    </xf>
    <xf numFmtId="0" fontId="8" fillId="0" borderId="29" xfId="0" applyFont="1" applyFill="1" applyBorder="1" applyAlignment="1">
      <alignment horizontal="center" vertical="center" wrapText="1"/>
    </xf>
    <xf numFmtId="0" fontId="8" fillId="0" borderId="31" xfId="0" applyFont="1" applyFill="1" applyBorder="1" applyAlignment="1">
      <alignment horizontal="center" vertical="center" wrapText="1"/>
    </xf>
    <xf numFmtId="0" fontId="8" fillId="10" borderId="6" xfId="0" applyFont="1" applyFill="1" applyBorder="1" applyAlignment="1">
      <alignment horizontal="center" vertical="center" wrapText="1"/>
    </xf>
    <xf numFmtId="0" fontId="8" fillId="10" borderId="7" xfId="0" applyFont="1" applyFill="1" applyBorder="1" applyAlignment="1">
      <alignment horizontal="center" vertical="center" wrapText="1"/>
    </xf>
    <xf numFmtId="0" fontId="8" fillId="10" borderId="24" xfId="0" applyFont="1" applyFill="1" applyBorder="1" applyAlignment="1">
      <alignment horizontal="center" vertical="center" wrapText="1"/>
    </xf>
    <xf numFmtId="0" fontId="8" fillId="10" borderId="25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34" xfId="0" applyFont="1" applyFill="1" applyBorder="1" applyAlignment="1">
      <alignment horizontal="center" vertical="center" wrapText="1"/>
    </xf>
  </cellXfs>
  <cellStyles count="10">
    <cellStyle name="ЗаголовокСтолбца" xfId="2"/>
    <cellStyle name="Обычный" xfId="0" builtinId="0"/>
    <cellStyle name="Обычный 2" xfId="3"/>
    <cellStyle name="Обычный 2 2" xfId="4"/>
    <cellStyle name="Обычный 2_Книга2" xfId="5"/>
    <cellStyle name="Обычный 3" xfId="6"/>
    <cellStyle name="Обычный 4" xfId="7"/>
    <cellStyle name="Процентный" xfId="1" builtinId="5"/>
    <cellStyle name="Процентный 2" xfId="8"/>
    <cellStyle name="Финансовый 2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6;&#1040;&#1057;&#1063;&#1045;&#1058;&#1067;/&#1046;&#1080;&#1083;&#1080;&#1097;&#1085;&#1099;&#1077;%20&#1091;&#1089;&#1083;&#1091;&#1075;&#1080;/2013/&#1056;&#1072;&#1089;&#1095;&#1077;&#1090;%20-%20&#1078;&#1080;&#1083;&#1080;&#1097;&#1082;&#1072;%20201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adko/AppData/Local/Microsoft/Windows/Temporary%20Internet%20Files/Content.Outlook/9W5JBZH3/2014/&#1089;&#1074;&#1086;&#1076;%20&#1080;%20&#1087;&#1088;&#1077;&#1076;&#1083;&#1086;&#1078;&#1077;&#1085;&#1080;&#1077;%20&#1046;&#1059;%20&#1085;&#1072;%202015%20-%202%20&#1074;&#1072;&#1088;.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adko/AppData/Local/Microsoft/Windows/Temporary%20Internet%20Files/Content.Outlook/9W5JBZH3/&#1055;&#1088;&#1077;&#1076;&#1083;&#1086;&#1078;&#1077;&#1085;&#1080;&#1077;%20&#1087;&#1083;&#1072;&#1090;&#1099;%20&#1079;&#1072;%20&#1046;&#1059;%20&#1087;&#1086;%20&#1087;&#1086;&#1088;&#1091;&#1095;&#1077;&#1085;&#1080;&#1102;%20&#1040;&#1083;&#1073;&#1080;&#1085;&#1072;%20&#1048;.&#1053;.%2003.03.2015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adko/AppData/Local/Microsoft/Windows/Temporary%20Internet%20Files/Content.Outlook/9W5JBZH3/&#1082;&#1074;&#1072;&#1088;&#1090;&#1080;&#1088;&#1072;%202015%20&#1076;&#1083;&#1103;%20&#1089;&#1088;&#1072;&#1074;&#1085;&#1077;&#1085;&#1080;&#1103;%20&#1089;%20&#1092;&#1077;&#1076;&#1077;&#1088;&#1072;&#1083;&#1100;&#1085;&#1099;&#1084;%20&#1089;&#1090;&#1072;&#1085;&#1076;&#1072;&#1088;&#1090;&#1086;&#1084;-%2018%20&#1082;&#1074;%20&#108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акт Выб"/>
      <sheetName val="ИПЦ-1"/>
      <sheetName val="лифты"/>
      <sheetName val="ИПЦ-1 (+предложения)"/>
      <sheetName val="факт другие"/>
      <sheetName val="ИПЦ-1 (+предложения) (нов ГЦКС"/>
    </sheetNames>
    <sheetDataSet>
      <sheetData sheetId="0"/>
      <sheetData sheetId="1"/>
      <sheetData sheetId="2"/>
      <sheetData sheetId="3">
        <row r="26">
          <cell r="V26">
            <v>3.09</v>
          </cell>
        </row>
        <row r="27">
          <cell r="V27">
            <v>1.1499999999999999</v>
          </cell>
        </row>
        <row r="41">
          <cell r="V41">
            <v>4.733039999999999</v>
          </cell>
        </row>
      </sheetData>
      <sheetData sheetId="4">
        <row r="8">
          <cell r="AJ8">
            <v>3.7083333333333326</v>
          </cell>
          <cell r="AL8">
            <v>3.835</v>
          </cell>
        </row>
      </sheetData>
      <sheetData sheetId="5">
        <row r="12">
          <cell r="P12">
            <v>0.56000000000000005</v>
          </cell>
        </row>
        <row r="13">
          <cell r="P13">
            <v>0.37</v>
          </cell>
        </row>
        <row r="14">
          <cell r="P14">
            <v>1.26</v>
          </cell>
        </row>
        <row r="15">
          <cell r="P15">
            <v>1.37</v>
          </cell>
        </row>
        <row r="16">
          <cell r="P16">
            <v>0.26</v>
          </cell>
        </row>
        <row r="17">
          <cell r="P17">
            <v>0.06</v>
          </cell>
        </row>
        <row r="18">
          <cell r="P18">
            <v>0.19</v>
          </cell>
        </row>
        <row r="19">
          <cell r="P19">
            <v>0.32</v>
          </cell>
        </row>
        <row r="22">
          <cell r="P22">
            <v>0.6</v>
          </cell>
        </row>
        <row r="23">
          <cell r="P23">
            <v>0.06</v>
          </cell>
        </row>
        <row r="24">
          <cell r="P24">
            <v>3.57</v>
          </cell>
        </row>
        <row r="28">
          <cell r="P28">
            <v>7.89</v>
          </cell>
        </row>
        <row r="29">
          <cell r="P29">
            <v>2.2400000000000002</v>
          </cell>
        </row>
        <row r="30">
          <cell r="P30">
            <v>2.14</v>
          </cell>
        </row>
        <row r="31">
          <cell r="P31">
            <v>0.53</v>
          </cell>
        </row>
        <row r="32">
          <cell r="P32">
            <v>0.41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нализ АУР"/>
      <sheetName val="Анализ соцдомов"/>
      <sheetName val="факт по данным АУДИТА"/>
      <sheetName val="предложения УК "/>
      <sheetName val="Предожение Ком."/>
      <sheetName val="290"/>
      <sheetName val="мусор"/>
      <sheetName val="Лист2"/>
      <sheetName val="Анализ"/>
      <sheetName val="Численность"/>
      <sheetName val="Площадь"/>
      <sheetName val="АУР"/>
      <sheetName val="Содержание жилья"/>
      <sheetName val="Тек.ремонт"/>
      <sheetName val="Сан.очистка зем.уч."/>
      <sheetName val="Очистка мусоропровода"/>
      <sheetName val="ПЗУ и АППЗ"/>
      <sheetName val="ВДГО"/>
      <sheetName val="ГО и ЧС"/>
      <sheetName val="Приборы учета"/>
      <sheetName val="ЛИфты"/>
      <sheetName val="СВОД"/>
      <sheetName val="Доступность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19">
          <cell r="J19">
            <v>2.0299999999999998</v>
          </cell>
        </row>
      </sheetData>
      <sheetData sheetId="12">
        <row r="34">
          <cell r="K34">
            <v>0.38</v>
          </cell>
        </row>
        <row r="35">
          <cell r="K35">
            <v>1.76</v>
          </cell>
        </row>
        <row r="36">
          <cell r="K36">
            <v>1.23</v>
          </cell>
        </row>
        <row r="37">
          <cell r="K37">
            <v>0.06</v>
          </cell>
        </row>
        <row r="38">
          <cell r="K38">
            <v>1.46</v>
          </cell>
        </row>
        <row r="39">
          <cell r="K39">
            <v>0.23</v>
          </cell>
        </row>
        <row r="40">
          <cell r="K40">
            <v>0.71</v>
          </cell>
        </row>
        <row r="41">
          <cell r="K41">
            <v>0.27</v>
          </cell>
        </row>
        <row r="42">
          <cell r="K42">
            <v>3.5599999999999996</v>
          </cell>
        </row>
        <row r="43">
          <cell r="K43">
            <v>1.03</v>
          </cell>
        </row>
        <row r="44">
          <cell r="K44">
            <v>2.5299999999999998</v>
          </cell>
        </row>
      </sheetData>
      <sheetData sheetId="13">
        <row r="22">
          <cell r="H22">
            <v>5.23</v>
          </cell>
        </row>
      </sheetData>
      <sheetData sheetId="14">
        <row r="23">
          <cell r="I23">
            <v>1.38</v>
          </cell>
        </row>
      </sheetData>
      <sheetData sheetId="15">
        <row r="22">
          <cell r="I22">
            <v>1.1681999999999999</v>
          </cell>
        </row>
      </sheetData>
      <sheetData sheetId="16">
        <row r="19">
          <cell r="H19">
            <v>0.53</v>
          </cell>
        </row>
        <row r="40">
          <cell r="H40">
            <v>0.41</v>
          </cell>
        </row>
      </sheetData>
      <sheetData sheetId="17">
        <row r="19">
          <cell r="G19">
            <v>0.56000000000000005</v>
          </cell>
        </row>
      </sheetData>
      <sheetData sheetId="18">
        <row r="29">
          <cell r="G29">
            <v>0.13</v>
          </cell>
        </row>
      </sheetData>
      <sheetData sheetId="19">
        <row r="6">
          <cell r="F6">
            <v>0.56000000000000005</v>
          </cell>
        </row>
        <row r="7">
          <cell r="F7">
            <v>0.1</v>
          </cell>
        </row>
        <row r="8">
          <cell r="F8">
            <v>0.15</v>
          </cell>
        </row>
        <row r="9">
          <cell r="F9">
            <v>0.12</v>
          </cell>
        </row>
      </sheetData>
      <sheetData sheetId="20">
        <row r="22">
          <cell r="K22">
            <v>3139.12</v>
          </cell>
        </row>
        <row r="25">
          <cell r="K25">
            <v>308.77999999999997</v>
          </cell>
        </row>
        <row r="26">
          <cell r="K26">
            <v>654.62</v>
          </cell>
        </row>
        <row r="42">
          <cell r="F42">
            <v>0.06</v>
          </cell>
        </row>
      </sheetData>
      <sheetData sheetId="21" refreshError="1"/>
      <sheetData sheetId="2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3.03.2015"/>
      <sheetName val="2 варианта "/>
      <sheetName val="табл.2 и 3. четыре инд."/>
      <sheetName val="табл. 2 и 3. три инд."/>
      <sheetName val="СВОД"/>
      <sheetName val="Приложение 1 к прот.РС № 6-ИБ"/>
      <sheetName val="Доступность"/>
      <sheetName val="КВАРТИРА ХАРАКТ. ОСНОВНОЙ"/>
    </sheetNames>
    <sheetDataSet>
      <sheetData sheetId="0" refreshError="1"/>
      <sheetData sheetId="1" refreshError="1"/>
      <sheetData sheetId="2" refreshError="1">
        <row r="54">
          <cell r="H54">
            <v>1.68</v>
          </cell>
          <cell r="J54">
            <v>5.01</v>
          </cell>
          <cell r="L54">
            <v>1.53</v>
          </cell>
          <cell r="N54">
            <v>1.26</v>
          </cell>
        </row>
      </sheetData>
      <sheetData sheetId="3" refreshError="1">
        <row r="56">
          <cell r="H56">
            <v>1.62</v>
          </cell>
        </row>
      </sheetData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ВАРТИРА ХАРАКТ. ОСНОВНОЙ"/>
    </sheetNames>
    <sheetDataSet>
      <sheetData sheetId="0">
        <row r="18">
          <cell r="AJ18">
            <v>1493.12</v>
          </cell>
          <cell r="AQ18">
            <v>1633.1399999999999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AI134"/>
  <sheetViews>
    <sheetView tabSelected="1" view="pageBreakPreview" zoomScale="70" zoomScaleNormal="70" zoomScaleSheetLayoutView="70" workbookViewId="0">
      <pane xSplit="2" ySplit="6" topLeftCell="C58" activePane="bottomRight" state="frozenSplit"/>
      <selection sqref="A1:XFD1048576"/>
      <selection pane="topRight" activeCell="D1" sqref="D1"/>
      <selection pane="bottomLeft" activeCell="A5" sqref="A5"/>
      <selection pane="bottomRight" activeCell="W53" sqref="W53"/>
    </sheetView>
  </sheetViews>
  <sheetFormatPr defaultRowHeight="18" x14ac:dyDescent="0.35"/>
  <cols>
    <col min="1" max="1" width="7.5546875" customWidth="1"/>
    <col min="2" max="2" width="51.109375" customWidth="1"/>
    <col min="3" max="3" width="63.44140625" customWidth="1"/>
    <col min="4" max="5" width="18.33203125" customWidth="1"/>
    <col min="6" max="6" width="1.6640625" hidden="1" customWidth="1"/>
    <col min="7" max="7" width="17.88671875" hidden="1" customWidth="1"/>
    <col min="8" max="8" width="21.88671875" customWidth="1"/>
    <col min="9" max="9" width="25.33203125" customWidth="1"/>
    <col min="10" max="10" width="22.88671875" hidden="1" customWidth="1"/>
    <col min="11" max="11" width="20.33203125" hidden="1" customWidth="1"/>
    <col min="12" max="12" width="2.33203125" hidden="1" customWidth="1"/>
    <col min="13" max="14" width="20.33203125" hidden="1" customWidth="1"/>
    <col min="15" max="15" width="18" hidden="1" customWidth="1"/>
    <col min="16" max="16" width="19" hidden="1" customWidth="1"/>
    <col min="17" max="17" width="21" hidden="1" customWidth="1"/>
    <col min="18" max="18" width="19.44140625" hidden="1" customWidth="1"/>
    <col min="19" max="20" width="18.33203125" hidden="1" customWidth="1"/>
    <col min="21" max="21" width="20.33203125" hidden="1" customWidth="1"/>
    <col min="22" max="22" width="2.33203125" hidden="1" customWidth="1"/>
    <col min="23" max="25" width="23" style="1" customWidth="1"/>
    <col min="26" max="26" width="21.88671875" hidden="1" customWidth="1"/>
    <col min="27" max="27" width="16.88671875" hidden="1" customWidth="1"/>
    <col min="28" max="28" width="22.5546875" hidden="1" customWidth="1"/>
    <col min="29" max="29" width="16.44140625" hidden="1" customWidth="1"/>
    <col min="30" max="30" width="21.88671875" hidden="1" customWidth="1"/>
    <col min="31" max="31" width="15.88671875" hidden="1" customWidth="1"/>
    <col min="32" max="33" width="20.88671875" hidden="1" customWidth="1"/>
    <col min="34" max="35" width="9.109375" style="2"/>
  </cols>
  <sheetData>
    <row r="1" spans="1:35" ht="41.25" customHeight="1" x14ac:dyDescent="0.35">
      <c r="Y1" s="375" t="s">
        <v>0</v>
      </c>
      <c r="AB1" s="526"/>
      <c r="AC1" s="526"/>
    </row>
    <row r="2" spans="1:35" ht="105.6" customHeight="1" x14ac:dyDescent="0.35">
      <c r="A2" s="527" t="s">
        <v>153</v>
      </c>
      <c r="B2" s="527"/>
      <c r="C2" s="527"/>
      <c r="D2" s="527"/>
      <c r="E2" s="527"/>
      <c r="F2" s="527"/>
      <c r="G2" s="527"/>
      <c r="H2" s="527"/>
      <c r="I2" s="527"/>
      <c r="J2" s="527"/>
      <c r="K2" s="527"/>
      <c r="L2" s="527"/>
      <c r="M2" s="527"/>
      <c r="N2" s="527"/>
      <c r="O2" s="527"/>
      <c r="P2" s="527"/>
      <c r="Q2" s="527"/>
      <c r="R2" s="527"/>
      <c r="S2" s="527"/>
      <c r="T2" s="527"/>
      <c r="U2" s="527"/>
      <c r="V2" s="527"/>
      <c r="W2" s="527"/>
      <c r="X2" s="527"/>
      <c r="Y2" s="527"/>
      <c r="Z2" s="527"/>
      <c r="AA2" s="527"/>
      <c r="AB2" s="527"/>
      <c r="AC2" s="527"/>
      <c r="AD2" s="527"/>
      <c r="AE2" s="527"/>
      <c r="AF2" s="527"/>
      <c r="AG2" s="527"/>
    </row>
    <row r="3" spans="1:35" ht="18.600000000000001" thickBot="1" x14ac:dyDescent="0.4">
      <c r="A3" s="3"/>
      <c r="AH3" s="4"/>
    </row>
    <row r="4" spans="1:35" ht="26.25" customHeight="1" thickBot="1" x14ac:dyDescent="0.4">
      <c r="A4" s="528" t="s">
        <v>1</v>
      </c>
      <c r="B4" s="531" t="s">
        <v>2</v>
      </c>
      <c r="C4" s="500"/>
      <c r="D4" s="500"/>
      <c r="E4" s="500"/>
      <c r="F4" s="500"/>
      <c r="G4" s="532"/>
      <c r="H4" s="511" t="s">
        <v>3</v>
      </c>
      <c r="I4" s="537" t="s">
        <v>4</v>
      </c>
      <c r="J4" s="538"/>
      <c r="K4" s="541" t="s">
        <v>5</v>
      </c>
      <c r="L4" s="511" t="s">
        <v>6</v>
      </c>
      <c r="M4" s="508" t="s">
        <v>8</v>
      </c>
      <c r="N4" s="511" t="s">
        <v>9</v>
      </c>
      <c r="O4" s="514" t="s">
        <v>10</v>
      </c>
      <c r="P4" s="515"/>
      <c r="Q4" s="515"/>
      <c r="R4" s="515"/>
      <c r="S4" s="515"/>
      <c r="T4" s="515"/>
      <c r="U4" s="515"/>
      <c r="V4" s="516"/>
      <c r="W4" s="517" t="s">
        <v>11</v>
      </c>
      <c r="X4" s="518"/>
      <c r="Y4" s="519"/>
      <c r="Z4" s="5"/>
      <c r="AA4" s="5"/>
      <c r="AB4" s="5"/>
      <c r="AC4" s="5"/>
      <c r="AD4" s="5"/>
      <c r="AE4" s="5"/>
      <c r="AF4" s="5"/>
      <c r="AG4" s="6"/>
      <c r="AH4" s="7"/>
      <c r="AI4" s="4"/>
    </row>
    <row r="5" spans="1:35" ht="54.75" customHeight="1" x14ac:dyDescent="0.35">
      <c r="A5" s="529"/>
      <c r="B5" s="512"/>
      <c r="C5" s="533"/>
      <c r="D5" s="533"/>
      <c r="E5" s="533"/>
      <c r="F5" s="533"/>
      <c r="G5" s="534"/>
      <c r="H5" s="512"/>
      <c r="I5" s="539"/>
      <c r="J5" s="540"/>
      <c r="K5" s="534"/>
      <c r="L5" s="512"/>
      <c r="M5" s="509"/>
      <c r="N5" s="512"/>
      <c r="O5" s="8"/>
      <c r="P5" s="9"/>
      <c r="Q5" s="520" t="s">
        <v>12</v>
      </c>
      <c r="R5" s="520" t="s">
        <v>13</v>
      </c>
      <c r="S5" s="9"/>
      <c r="T5" s="9"/>
      <c r="U5" s="9"/>
      <c r="V5" s="10"/>
      <c r="W5" s="522" t="s">
        <v>150</v>
      </c>
      <c r="X5" s="524" t="s">
        <v>7</v>
      </c>
      <c r="Y5" s="506" t="s">
        <v>151</v>
      </c>
      <c r="Z5" s="500" t="s">
        <v>15</v>
      </c>
      <c r="AA5" s="502" t="s">
        <v>14</v>
      </c>
      <c r="AB5" s="504" t="s">
        <v>16</v>
      </c>
      <c r="AC5" s="506" t="s">
        <v>17</v>
      </c>
      <c r="AD5" s="504" t="s">
        <v>18</v>
      </c>
      <c r="AE5" s="506" t="s">
        <v>19</v>
      </c>
      <c r="AF5" s="504" t="s">
        <v>20</v>
      </c>
      <c r="AG5" s="502" t="s">
        <v>21</v>
      </c>
      <c r="AH5" s="4"/>
    </row>
    <row r="6" spans="1:35" ht="59.25" customHeight="1" thickBot="1" x14ac:dyDescent="0.4">
      <c r="A6" s="530"/>
      <c r="B6" s="535"/>
      <c r="C6" s="501"/>
      <c r="D6" s="501"/>
      <c r="E6" s="501"/>
      <c r="F6" s="501"/>
      <c r="G6" s="536"/>
      <c r="H6" s="513"/>
      <c r="I6" s="376" t="s">
        <v>22</v>
      </c>
      <c r="J6" s="377" t="s">
        <v>23</v>
      </c>
      <c r="K6" s="542"/>
      <c r="L6" s="513"/>
      <c r="M6" s="510"/>
      <c r="N6" s="513"/>
      <c r="O6" s="8" t="s">
        <v>24</v>
      </c>
      <c r="P6" s="9" t="s">
        <v>25</v>
      </c>
      <c r="Q6" s="521"/>
      <c r="R6" s="521"/>
      <c r="S6" s="9" t="s">
        <v>26</v>
      </c>
      <c r="T6" s="9" t="s">
        <v>27</v>
      </c>
      <c r="U6" s="9" t="s">
        <v>28</v>
      </c>
      <c r="V6" s="10" t="s">
        <v>29</v>
      </c>
      <c r="W6" s="523"/>
      <c r="X6" s="525"/>
      <c r="Y6" s="507"/>
      <c r="Z6" s="501"/>
      <c r="AA6" s="503"/>
      <c r="AB6" s="505"/>
      <c r="AC6" s="507"/>
      <c r="AD6" s="505"/>
      <c r="AE6" s="507"/>
      <c r="AF6" s="505"/>
      <c r="AG6" s="507"/>
    </row>
    <row r="7" spans="1:35" s="21" customFormat="1" ht="18.600000000000001" thickBot="1" x14ac:dyDescent="0.4">
      <c r="A7" s="11">
        <v>1</v>
      </c>
      <c r="B7" s="497">
        <v>2</v>
      </c>
      <c r="C7" s="498"/>
      <c r="D7" s="498"/>
      <c r="E7" s="498"/>
      <c r="F7" s="498"/>
      <c r="G7" s="499"/>
      <c r="H7" s="12">
        <v>3</v>
      </c>
      <c r="I7" s="378">
        <v>4</v>
      </c>
      <c r="J7" s="379">
        <v>5</v>
      </c>
      <c r="K7" s="13"/>
      <c r="L7" s="12"/>
      <c r="M7" s="17">
        <v>14</v>
      </c>
      <c r="N7" s="17">
        <v>14</v>
      </c>
      <c r="O7" s="17">
        <v>14</v>
      </c>
      <c r="P7" s="17">
        <v>14</v>
      </c>
      <c r="Q7" s="17">
        <v>14</v>
      </c>
      <c r="R7" s="17">
        <v>14</v>
      </c>
      <c r="S7" s="17">
        <v>14</v>
      </c>
      <c r="T7" s="17">
        <v>14</v>
      </c>
      <c r="U7" s="17">
        <v>14</v>
      </c>
      <c r="V7" s="17">
        <v>14</v>
      </c>
      <c r="W7" s="16">
        <v>5</v>
      </c>
      <c r="X7" s="12">
        <v>6</v>
      </c>
      <c r="Y7" s="18">
        <v>7</v>
      </c>
      <c r="Z7" s="13">
        <v>15</v>
      </c>
      <c r="AA7" s="12">
        <v>16</v>
      </c>
      <c r="AB7" s="14">
        <v>17</v>
      </c>
      <c r="AC7" s="15">
        <v>18</v>
      </c>
      <c r="AD7" s="14">
        <v>19</v>
      </c>
      <c r="AE7" s="15">
        <v>20</v>
      </c>
      <c r="AF7" s="14">
        <v>21</v>
      </c>
      <c r="AG7" s="15">
        <v>22</v>
      </c>
      <c r="AH7" s="19"/>
      <c r="AI7" s="20"/>
    </row>
    <row r="8" spans="1:35" ht="22.8" x14ac:dyDescent="0.35">
      <c r="A8" s="22"/>
      <c r="B8" s="481" t="s">
        <v>30</v>
      </c>
      <c r="C8" s="482"/>
      <c r="D8" s="482"/>
      <c r="E8" s="482"/>
      <c r="F8" s="482"/>
      <c r="G8" s="483"/>
      <c r="H8" s="23"/>
      <c r="I8" s="380"/>
      <c r="J8" s="381"/>
      <c r="K8" s="24"/>
      <c r="L8" s="25"/>
      <c r="M8" s="24"/>
      <c r="N8" s="25"/>
      <c r="O8" s="26"/>
      <c r="P8" s="27"/>
      <c r="Q8" s="27"/>
      <c r="R8" s="28"/>
      <c r="S8" s="24"/>
      <c r="T8" s="27"/>
      <c r="U8" s="27"/>
      <c r="V8" s="25"/>
      <c r="W8" s="30"/>
      <c r="X8" s="25"/>
      <c r="Y8" s="28"/>
      <c r="Z8" s="24"/>
      <c r="AA8" s="29"/>
      <c r="AB8" s="26"/>
      <c r="AC8" s="28"/>
      <c r="AD8" s="26"/>
      <c r="AE8" s="28"/>
      <c r="AF8" s="26"/>
      <c r="AG8" s="28"/>
      <c r="AH8" s="4"/>
    </row>
    <row r="9" spans="1:35" ht="24.6" x14ac:dyDescent="0.35">
      <c r="A9" s="31"/>
      <c r="B9" s="481" t="s">
        <v>31</v>
      </c>
      <c r="C9" s="482"/>
      <c r="D9" s="482"/>
      <c r="E9" s="482"/>
      <c r="F9" s="482"/>
      <c r="G9" s="483"/>
      <c r="H9" s="32">
        <f>14.83</f>
        <v>14.83</v>
      </c>
      <c r="I9" s="382"/>
      <c r="J9" s="383"/>
      <c r="K9" s="33"/>
      <c r="L9" s="34"/>
      <c r="M9" s="33"/>
      <c r="N9" s="34"/>
      <c r="O9" s="35"/>
      <c r="P9" s="36"/>
      <c r="Q9" s="36"/>
      <c r="R9" s="36"/>
      <c r="S9" s="36"/>
      <c r="T9" s="36"/>
      <c r="U9" s="36"/>
      <c r="V9" s="34"/>
      <c r="W9" s="38"/>
      <c r="X9" s="40"/>
      <c r="Y9" s="41"/>
      <c r="Z9" s="42"/>
      <c r="AA9" s="39"/>
      <c r="AB9" s="35"/>
      <c r="AC9" s="37"/>
      <c r="AD9" s="35"/>
      <c r="AE9" s="37"/>
      <c r="AF9" s="35"/>
      <c r="AG9" s="37"/>
    </row>
    <row r="10" spans="1:35" ht="24.6" x14ac:dyDescent="0.35">
      <c r="A10" s="43" t="s">
        <v>32</v>
      </c>
      <c r="B10" s="478" t="s">
        <v>33</v>
      </c>
      <c r="C10" s="479"/>
      <c r="D10" s="479"/>
      <c r="E10" s="479"/>
      <c r="F10" s="479"/>
      <c r="G10" s="480"/>
      <c r="H10" s="44" t="s">
        <v>34</v>
      </c>
      <c r="I10" s="382">
        <v>1.18</v>
      </c>
      <c r="J10" s="383">
        <v>1.83</v>
      </c>
      <c r="K10" s="47">
        <v>2</v>
      </c>
      <c r="L10" s="48">
        <f>K10/I10</f>
        <v>1.6949152542372883</v>
      </c>
      <c r="M10" s="47">
        <f>'[1]факт другие'!$AL$8</f>
        <v>3.835</v>
      </c>
      <c r="N10" s="48">
        <f t="shared" ref="N10:N36" si="0">M10/$I10</f>
        <v>3.25</v>
      </c>
      <c r="O10" s="45">
        <f>[2]АУР!J19</f>
        <v>2.0299999999999998</v>
      </c>
      <c r="P10" s="53">
        <f>O10/$I$10</f>
        <v>1.7203389830508473</v>
      </c>
      <c r="Q10" s="49">
        <f>O10</f>
        <v>2.0299999999999998</v>
      </c>
      <c r="R10" s="53">
        <f>Q10/$I$10</f>
        <v>1.7203389830508473</v>
      </c>
      <c r="S10" s="49">
        <f>Q10*1.29</f>
        <v>2.6187</v>
      </c>
      <c r="T10" s="53">
        <f>S10/J10</f>
        <v>1.4309836065573771</v>
      </c>
      <c r="U10" s="49">
        <f>S10</f>
        <v>2.6187</v>
      </c>
      <c r="V10" s="48">
        <f>U10/J10</f>
        <v>1.4309836065573771</v>
      </c>
      <c r="W10" s="51">
        <f>I10</f>
        <v>1.18</v>
      </c>
      <c r="X10" s="54">
        <f>W10/I10</f>
        <v>1</v>
      </c>
      <c r="Y10" s="55">
        <f>W10-I10</f>
        <v>0</v>
      </c>
      <c r="Z10" s="56">
        <v>1.22</v>
      </c>
      <c r="AA10" s="52">
        <f>Z10/$I10</f>
        <v>1.0338983050847459</v>
      </c>
      <c r="AB10" s="45">
        <f>AD10</f>
        <v>2.0299999999999998</v>
      </c>
      <c r="AC10" s="50">
        <f t="shared" ref="AC10:AC20" si="1">AB10/$I10</f>
        <v>1.7203389830508473</v>
      </c>
      <c r="AD10" s="45">
        <v>2.0299999999999998</v>
      </c>
      <c r="AE10" s="50">
        <f>AD10/$I10</f>
        <v>1.7203389830508473</v>
      </c>
      <c r="AF10" s="45">
        <f>AB10</f>
        <v>2.0299999999999998</v>
      </c>
      <c r="AG10" s="50">
        <f>AF10/$I10</f>
        <v>1.7203389830508473</v>
      </c>
    </row>
    <row r="11" spans="1:35" s="66" customFormat="1" ht="25.2" hidden="1" x14ac:dyDescent="0.35">
      <c r="A11" s="43" t="s">
        <v>35</v>
      </c>
      <c r="B11" s="57" t="s">
        <v>36</v>
      </c>
      <c r="C11" s="58"/>
      <c r="D11" s="58"/>
      <c r="E11" s="58"/>
      <c r="F11" s="58"/>
      <c r="G11" s="59"/>
      <c r="H11" s="60" t="s">
        <v>37</v>
      </c>
      <c r="I11" s="384"/>
      <c r="J11" s="385"/>
      <c r="K11" s="62"/>
      <c r="L11" s="48"/>
      <c r="M11" s="62"/>
      <c r="N11" s="48"/>
      <c r="O11" s="61"/>
      <c r="P11" s="53"/>
      <c r="Q11" s="63"/>
      <c r="R11" s="53"/>
      <c r="S11" s="63"/>
      <c r="T11" s="53"/>
      <c r="U11" s="63"/>
      <c r="V11" s="48"/>
      <c r="W11" s="51"/>
      <c r="X11" s="64"/>
      <c r="Y11" s="55"/>
      <c r="Z11" s="65"/>
      <c r="AA11" s="52"/>
      <c r="AB11" s="61"/>
      <c r="AC11" s="50"/>
      <c r="AD11" s="61"/>
      <c r="AE11" s="50"/>
      <c r="AF11" s="45">
        <v>1</v>
      </c>
      <c r="AG11" s="50"/>
      <c r="AH11" s="2"/>
      <c r="AI11" s="2"/>
    </row>
    <row r="12" spans="1:35" ht="24.6" x14ac:dyDescent="0.35">
      <c r="A12" s="43" t="s">
        <v>38</v>
      </c>
      <c r="B12" s="478" t="s">
        <v>39</v>
      </c>
      <c r="C12" s="479"/>
      <c r="D12" s="479"/>
      <c r="E12" s="479"/>
      <c r="F12" s="479"/>
      <c r="G12" s="480"/>
      <c r="H12" s="44" t="s">
        <v>34</v>
      </c>
      <c r="I12" s="382">
        <f>I13+I22+I25+I26</f>
        <v>9.4699999999999989</v>
      </c>
      <c r="J12" s="383">
        <f>J13+J22+J25+J26</f>
        <v>14.830000000000002</v>
      </c>
      <c r="K12" s="47">
        <f>I12</f>
        <v>9.4699999999999989</v>
      </c>
      <c r="L12" s="48">
        <f>K12/I12</f>
        <v>1</v>
      </c>
      <c r="M12" s="47">
        <f>M13+M22+M25+M26</f>
        <v>12.860000000000001</v>
      </c>
      <c r="N12" s="48">
        <f t="shared" si="0"/>
        <v>1.3579725448785642</v>
      </c>
      <c r="O12" s="45">
        <f>O13+O22+O25+O26</f>
        <v>9.66</v>
      </c>
      <c r="P12" s="53">
        <f>O12/$I12</f>
        <v>1.0200633579725451</v>
      </c>
      <c r="Q12" s="49">
        <f>O12</f>
        <v>9.66</v>
      </c>
      <c r="R12" s="53">
        <f>Q12/$I12</f>
        <v>1.0200633579725451</v>
      </c>
      <c r="S12" s="49">
        <f t="shared" ref="S12:S17" si="2">J12</f>
        <v>14.830000000000002</v>
      </c>
      <c r="T12" s="53">
        <f t="shared" ref="T12:T17" si="3">S12/J12</f>
        <v>1</v>
      </c>
      <c r="U12" s="49">
        <f t="shared" ref="U12:U50" si="4">S12</f>
        <v>14.830000000000002</v>
      </c>
      <c r="V12" s="48">
        <f t="shared" ref="V12:V17" si="5">U12/J12</f>
        <v>1</v>
      </c>
      <c r="W12" s="45">
        <f>W13+W22+W25+W26+W29</f>
        <v>9.59</v>
      </c>
      <c r="X12" s="54">
        <f t="shared" ref="X12:X28" si="6">W12/I12</f>
        <v>1.0126715945089759</v>
      </c>
      <c r="Y12" s="46">
        <f t="shared" ref="Y12:Y28" si="7">W12-I12</f>
        <v>0.12000000000000099</v>
      </c>
      <c r="Z12" s="56">
        <v>9.92</v>
      </c>
      <c r="AA12" s="52">
        <f>Z12/$I12</f>
        <v>1.0475184794086589</v>
      </c>
      <c r="AB12" s="45">
        <f>AB13+AB22+AB25+AB26</f>
        <v>9.6999999999999993</v>
      </c>
      <c r="AC12" s="50">
        <f t="shared" si="1"/>
        <v>1.0242872228088702</v>
      </c>
      <c r="AD12" s="45">
        <f>AD13+AD22+AD25+AD26</f>
        <v>9.66</v>
      </c>
      <c r="AE12" s="50">
        <f t="shared" ref="AE12:AE17" si="8">AD12/$I12</f>
        <v>1.0200633579725451</v>
      </c>
      <c r="AF12" s="45">
        <f>AF13+AF22+AF25+AF26</f>
        <v>9.6999999999999993</v>
      </c>
      <c r="AG12" s="50">
        <f t="shared" ref="AG12:AG20" si="9">AF12/$I12</f>
        <v>1.0242872228088702</v>
      </c>
    </row>
    <row r="13" spans="1:35" s="81" customFormat="1" ht="19.5" customHeight="1" x14ac:dyDescent="0.35">
      <c r="A13" s="31" t="s">
        <v>40</v>
      </c>
      <c r="B13" s="481" t="s">
        <v>41</v>
      </c>
      <c r="C13" s="482"/>
      <c r="D13" s="482"/>
      <c r="E13" s="482"/>
      <c r="F13" s="482"/>
      <c r="G13" s="483"/>
      <c r="H13" s="67" t="s">
        <v>34</v>
      </c>
      <c r="I13" s="386">
        <f>I14+I15+I16+I17+I18+I19+I20+I21</f>
        <v>3.8699999999999997</v>
      </c>
      <c r="J13" s="387">
        <f>J14+J15+J16+J17+J18+J19+J20+J21</f>
        <v>6.0604118268215421</v>
      </c>
      <c r="K13" s="70">
        <f>I13</f>
        <v>3.8699999999999997</v>
      </c>
      <c r="L13" s="71">
        <f>K13/I13</f>
        <v>1</v>
      </c>
      <c r="M13" s="70">
        <f>M14+M15+M16+M17+M18+M19+M20+M21</f>
        <v>4.3900000000000006</v>
      </c>
      <c r="N13" s="71">
        <f t="shared" si="0"/>
        <v>1.1343669250645998</v>
      </c>
      <c r="O13" s="68">
        <f>O14+O15+O16+O17+O19+O21</f>
        <v>3.93</v>
      </c>
      <c r="P13" s="74">
        <f>O13/$I13</f>
        <v>1.0155038759689923</v>
      </c>
      <c r="Q13" s="72">
        <f>O13</f>
        <v>3.93</v>
      </c>
      <c r="R13" s="74">
        <f>Q13/$I13</f>
        <v>1.0155038759689923</v>
      </c>
      <c r="S13" s="72">
        <f t="shared" si="2"/>
        <v>6.0604118268215421</v>
      </c>
      <c r="T13" s="74">
        <f t="shared" si="3"/>
        <v>1</v>
      </c>
      <c r="U13" s="72">
        <f t="shared" si="4"/>
        <v>6.0604118268215421</v>
      </c>
      <c r="V13" s="71">
        <f t="shared" si="5"/>
        <v>1</v>
      </c>
      <c r="W13" s="30">
        <f>W14+W15+W16+W17+W18+W19+W20+W21</f>
        <v>3.7600000000000002</v>
      </c>
      <c r="X13" s="75">
        <f t="shared" si="6"/>
        <v>0.97157622739018101</v>
      </c>
      <c r="Y13" s="69">
        <f t="shared" si="7"/>
        <v>-0.10999999999999943</v>
      </c>
      <c r="Z13" s="76"/>
      <c r="AA13" s="77"/>
      <c r="AB13" s="78">
        <f>SUM(AB14:AB21)</f>
        <v>3.8699999999999997</v>
      </c>
      <c r="AC13" s="79">
        <f t="shared" si="1"/>
        <v>1</v>
      </c>
      <c r="AD13" s="78">
        <f>AD14+AD15+AD16+AD17+AD19+AD21</f>
        <v>3.93</v>
      </c>
      <c r="AE13" s="79">
        <f t="shared" si="8"/>
        <v>1.0155038759689923</v>
      </c>
      <c r="AF13" s="78">
        <f>SUM(AF14:AF21)</f>
        <v>3.8699999999999997</v>
      </c>
      <c r="AG13" s="79">
        <f t="shared" si="9"/>
        <v>1</v>
      </c>
      <c r="AH13" s="80"/>
      <c r="AI13" s="80"/>
    </row>
    <row r="14" spans="1:35" s="81" customFormat="1" ht="19.5" customHeight="1" x14ac:dyDescent="0.35">
      <c r="A14" s="82" t="s">
        <v>42</v>
      </c>
      <c r="B14" s="466" t="s">
        <v>43</v>
      </c>
      <c r="C14" s="467"/>
      <c r="D14" s="467"/>
      <c r="E14" s="467"/>
      <c r="F14" s="467"/>
      <c r="G14" s="468"/>
      <c r="H14" s="83" t="s">
        <v>37</v>
      </c>
      <c r="I14" s="388">
        <v>0.39</v>
      </c>
      <c r="J14" s="389">
        <f t="shared" ref="J14:J28" si="10">$H$9/$I$12*I14</f>
        <v>0.61073917634635699</v>
      </c>
      <c r="K14" s="85"/>
      <c r="L14" s="86"/>
      <c r="M14" s="85">
        <f>'[1]ИПЦ-1 (+предложения) (нов ГЦКС'!$P12</f>
        <v>0.56000000000000005</v>
      </c>
      <c r="N14" s="86">
        <f t="shared" si="0"/>
        <v>1.4358974358974359</v>
      </c>
      <c r="O14" s="84">
        <f>'[2]Содержание жилья'!K34</f>
        <v>0.38</v>
      </c>
      <c r="P14" s="91">
        <f t="shared" ref="P14:P55" si="11">O14/$I14</f>
        <v>0.97435897435897434</v>
      </c>
      <c r="Q14" s="87">
        <f>O14</f>
        <v>0.38</v>
      </c>
      <c r="R14" s="91">
        <f t="shared" ref="R14:R15" si="12">Q14/$I14</f>
        <v>0.97435897435897434</v>
      </c>
      <c r="S14" s="87">
        <f t="shared" si="2"/>
        <v>0.61073917634635699</v>
      </c>
      <c r="T14" s="92">
        <f t="shared" si="3"/>
        <v>1</v>
      </c>
      <c r="U14" s="87">
        <f t="shared" si="4"/>
        <v>0.61073917634635699</v>
      </c>
      <c r="V14" s="86">
        <f t="shared" si="5"/>
        <v>1</v>
      </c>
      <c r="W14" s="93">
        <f>I14</f>
        <v>0.39</v>
      </c>
      <c r="X14" s="77">
        <f t="shared" si="6"/>
        <v>1</v>
      </c>
      <c r="Y14" s="94">
        <f t="shared" si="7"/>
        <v>0</v>
      </c>
      <c r="Z14" s="95"/>
      <c r="AA14" s="89"/>
      <c r="AB14" s="96">
        <f t="shared" ref="AB14:AB24" si="13">I14</f>
        <v>0.39</v>
      </c>
      <c r="AC14" s="79">
        <f t="shared" si="1"/>
        <v>1</v>
      </c>
      <c r="AD14" s="84">
        <v>0.38</v>
      </c>
      <c r="AE14" s="79">
        <f t="shared" si="8"/>
        <v>0.97435897435897434</v>
      </c>
      <c r="AF14" s="96">
        <v>0.39</v>
      </c>
      <c r="AG14" s="79">
        <f t="shared" si="9"/>
        <v>1</v>
      </c>
      <c r="AH14" s="80"/>
      <c r="AI14" s="80"/>
    </row>
    <row r="15" spans="1:35" s="81" customFormat="1" ht="19.5" customHeight="1" x14ac:dyDescent="0.35">
      <c r="A15" s="82" t="s">
        <v>44</v>
      </c>
      <c r="B15" s="466" t="s">
        <v>45</v>
      </c>
      <c r="C15" s="467"/>
      <c r="D15" s="467"/>
      <c r="E15" s="467"/>
      <c r="F15" s="467"/>
      <c r="G15" s="468"/>
      <c r="H15" s="83" t="s">
        <v>37</v>
      </c>
      <c r="I15" s="388">
        <v>0.37</v>
      </c>
      <c r="J15" s="389">
        <f t="shared" si="10"/>
        <v>0.57941921858500534</v>
      </c>
      <c r="K15" s="85"/>
      <c r="L15" s="86"/>
      <c r="M15" s="85">
        <f>'[1]ИПЦ-1 (+предложения) (нов ГЦКС'!$P13</f>
        <v>0.37</v>
      </c>
      <c r="N15" s="86">
        <f t="shared" si="0"/>
        <v>1</v>
      </c>
      <c r="O15" s="84">
        <f>'[2]Содержание жилья'!K41</f>
        <v>0.27</v>
      </c>
      <c r="P15" s="91">
        <f t="shared" si="11"/>
        <v>0.72972972972972983</v>
      </c>
      <c r="Q15" s="87">
        <f t="shared" ref="Q15:Q17" si="14">O15</f>
        <v>0.27</v>
      </c>
      <c r="R15" s="91">
        <f t="shared" si="12"/>
        <v>0.72972972972972983</v>
      </c>
      <c r="S15" s="87">
        <f t="shared" si="2"/>
        <v>0.57941921858500534</v>
      </c>
      <c r="T15" s="92">
        <f t="shared" si="3"/>
        <v>1</v>
      </c>
      <c r="U15" s="87">
        <f t="shared" si="4"/>
        <v>0.57941921858500534</v>
      </c>
      <c r="V15" s="86">
        <f t="shared" si="5"/>
        <v>1</v>
      </c>
      <c r="W15" s="93">
        <f>I15</f>
        <v>0.37</v>
      </c>
      <c r="X15" s="77">
        <f t="shared" si="6"/>
        <v>1</v>
      </c>
      <c r="Y15" s="94">
        <f t="shared" si="7"/>
        <v>0</v>
      </c>
      <c r="Z15" s="95"/>
      <c r="AA15" s="89"/>
      <c r="AB15" s="96">
        <f t="shared" si="13"/>
        <v>0.37</v>
      </c>
      <c r="AC15" s="79">
        <f t="shared" si="1"/>
        <v>1</v>
      </c>
      <c r="AD15" s="84">
        <v>0.27</v>
      </c>
      <c r="AE15" s="79">
        <f t="shared" si="8"/>
        <v>0.72972972972972983</v>
      </c>
      <c r="AF15" s="96">
        <v>0.37</v>
      </c>
      <c r="AG15" s="79">
        <f t="shared" si="9"/>
        <v>1</v>
      </c>
      <c r="AH15" s="80"/>
      <c r="AI15" s="80"/>
    </row>
    <row r="16" spans="1:35" s="81" customFormat="1" ht="19.5" customHeight="1" x14ac:dyDescent="0.35">
      <c r="A16" s="82" t="s">
        <v>46</v>
      </c>
      <c r="B16" s="466" t="s">
        <v>47</v>
      </c>
      <c r="C16" s="467"/>
      <c r="D16" s="467"/>
      <c r="E16" s="467"/>
      <c r="F16" s="467"/>
      <c r="G16" s="468"/>
      <c r="H16" s="83" t="s">
        <v>37</v>
      </c>
      <c r="I16" s="388">
        <v>1.19</v>
      </c>
      <c r="J16" s="389">
        <f t="shared" si="10"/>
        <v>1.8635374868004224</v>
      </c>
      <c r="K16" s="85"/>
      <c r="L16" s="86"/>
      <c r="M16" s="85">
        <f>'[1]ИПЦ-1 (+предложения) (нов ГЦКС'!$P14</f>
        <v>1.26</v>
      </c>
      <c r="N16" s="86">
        <f t="shared" si="0"/>
        <v>1.0588235294117647</v>
      </c>
      <c r="O16" s="84">
        <f>'[2]Содержание жилья'!K35</f>
        <v>1.76</v>
      </c>
      <c r="P16" s="91">
        <f>O16/$I16</f>
        <v>1.4789915966386555</v>
      </c>
      <c r="Q16" s="87">
        <f t="shared" si="14"/>
        <v>1.76</v>
      </c>
      <c r="R16" s="91">
        <f>Q16/$I16</f>
        <v>1.4789915966386555</v>
      </c>
      <c r="S16" s="87">
        <f t="shared" si="2"/>
        <v>1.8635374868004224</v>
      </c>
      <c r="T16" s="92">
        <f t="shared" si="3"/>
        <v>1</v>
      </c>
      <c r="U16" s="87">
        <f t="shared" si="4"/>
        <v>1.8635374868004224</v>
      </c>
      <c r="V16" s="86">
        <f t="shared" si="5"/>
        <v>1</v>
      </c>
      <c r="W16" s="93">
        <v>1.27</v>
      </c>
      <c r="X16" s="77">
        <f t="shared" si="6"/>
        <v>1.0672268907563025</v>
      </c>
      <c r="Y16" s="94">
        <f t="shared" si="7"/>
        <v>8.0000000000000071E-2</v>
      </c>
      <c r="Z16" s="95"/>
      <c r="AA16" s="89"/>
      <c r="AB16" s="96">
        <f t="shared" si="13"/>
        <v>1.19</v>
      </c>
      <c r="AC16" s="79">
        <f t="shared" si="1"/>
        <v>1</v>
      </c>
      <c r="AD16" s="84">
        <v>1.76</v>
      </c>
      <c r="AE16" s="79">
        <f t="shared" si="8"/>
        <v>1.4789915966386555</v>
      </c>
      <c r="AF16" s="96">
        <v>1.19</v>
      </c>
      <c r="AG16" s="79">
        <f t="shared" si="9"/>
        <v>1</v>
      </c>
      <c r="AH16" s="80"/>
      <c r="AI16" s="80"/>
    </row>
    <row r="17" spans="1:35" s="81" customFormat="1" ht="19.5" customHeight="1" x14ac:dyDescent="0.35">
      <c r="A17" s="82" t="s">
        <v>48</v>
      </c>
      <c r="B17" s="466" t="s">
        <v>49</v>
      </c>
      <c r="C17" s="467"/>
      <c r="D17" s="467"/>
      <c r="E17" s="467"/>
      <c r="F17" s="467"/>
      <c r="G17" s="468"/>
      <c r="H17" s="83" t="s">
        <v>37</v>
      </c>
      <c r="I17" s="388">
        <v>1.18</v>
      </c>
      <c r="J17" s="389">
        <f t="shared" si="10"/>
        <v>1.8478775079197467</v>
      </c>
      <c r="K17" s="85"/>
      <c r="L17" s="86"/>
      <c r="M17" s="85">
        <f>'[1]ИПЦ-1 (+предложения) (нов ГЦКС'!$P15</f>
        <v>1.37</v>
      </c>
      <c r="N17" s="86">
        <f t="shared" si="0"/>
        <v>1.1610169491525426</v>
      </c>
      <c r="O17" s="84">
        <f>'[2]Содержание жилья'!K36</f>
        <v>1.23</v>
      </c>
      <c r="P17" s="91">
        <f t="shared" si="11"/>
        <v>1.0423728813559323</v>
      </c>
      <c r="Q17" s="87">
        <f t="shared" si="14"/>
        <v>1.23</v>
      </c>
      <c r="R17" s="91">
        <f t="shared" ref="R17" si="15">Q17/$I17</f>
        <v>1.0423728813559323</v>
      </c>
      <c r="S17" s="87">
        <f t="shared" si="2"/>
        <v>1.8478775079197467</v>
      </c>
      <c r="T17" s="92">
        <f t="shared" si="3"/>
        <v>1</v>
      </c>
      <c r="U17" s="87">
        <f t="shared" si="4"/>
        <v>1.8478775079197467</v>
      </c>
      <c r="V17" s="86">
        <f t="shared" si="5"/>
        <v>1</v>
      </c>
      <c r="W17" s="93">
        <v>1.44</v>
      </c>
      <c r="X17" s="77">
        <f t="shared" si="6"/>
        <v>1.2203389830508475</v>
      </c>
      <c r="Y17" s="94">
        <f t="shared" si="7"/>
        <v>0.26</v>
      </c>
      <c r="Z17" s="95"/>
      <c r="AA17" s="89"/>
      <c r="AB17" s="96">
        <f t="shared" si="13"/>
        <v>1.18</v>
      </c>
      <c r="AC17" s="79">
        <f t="shared" si="1"/>
        <v>1</v>
      </c>
      <c r="AD17" s="84">
        <v>1.23</v>
      </c>
      <c r="AE17" s="79">
        <f t="shared" si="8"/>
        <v>1.0423728813559323</v>
      </c>
      <c r="AF17" s="96">
        <v>1.18</v>
      </c>
      <c r="AG17" s="79">
        <f t="shared" si="9"/>
        <v>1</v>
      </c>
      <c r="AH17" s="80"/>
      <c r="AI17" s="80"/>
    </row>
    <row r="18" spans="1:35" s="81" customFormat="1" ht="19.5" customHeight="1" x14ac:dyDescent="0.35">
      <c r="A18" s="82" t="s">
        <v>50</v>
      </c>
      <c r="B18" s="466" t="s">
        <v>51</v>
      </c>
      <c r="C18" s="467"/>
      <c r="D18" s="467"/>
      <c r="E18" s="467"/>
      <c r="F18" s="467"/>
      <c r="G18" s="468"/>
      <c r="H18" s="83" t="s">
        <v>37</v>
      </c>
      <c r="I18" s="388">
        <v>0.26</v>
      </c>
      <c r="J18" s="389">
        <f t="shared" si="10"/>
        <v>0.40715945089757133</v>
      </c>
      <c r="K18" s="85"/>
      <c r="L18" s="86"/>
      <c r="M18" s="85">
        <f>'[1]ИПЦ-1 (+предложения) (нов ГЦКС'!$P16</f>
        <v>0.26</v>
      </c>
      <c r="N18" s="86">
        <f t="shared" si="0"/>
        <v>1</v>
      </c>
      <c r="O18" s="490" t="s">
        <v>52</v>
      </c>
      <c r="P18" s="491"/>
      <c r="Q18" s="491"/>
      <c r="R18" s="491"/>
      <c r="S18" s="87"/>
      <c r="T18" s="92"/>
      <c r="U18" s="87"/>
      <c r="V18" s="86"/>
      <c r="W18" s="93"/>
      <c r="X18" s="77">
        <f t="shared" si="6"/>
        <v>0</v>
      </c>
      <c r="Y18" s="94">
        <f t="shared" si="7"/>
        <v>-0.26</v>
      </c>
      <c r="Z18" s="95"/>
      <c r="AA18" s="89"/>
      <c r="AB18" s="96">
        <f t="shared" si="13"/>
        <v>0.26</v>
      </c>
      <c r="AC18" s="79">
        <f t="shared" si="1"/>
        <v>1</v>
      </c>
      <c r="AD18" s="492" t="s">
        <v>52</v>
      </c>
      <c r="AE18" s="493"/>
      <c r="AF18" s="96">
        <v>0.26</v>
      </c>
      <c r="AG18" s="79">
        <f t="shared" si="9"/>
        <v>1</v>
      </c>
      <c r="AH18" s="80"/>
      <c r="AI18" s="80"/>
    </row>
    <row r="19" spans="1:35" s="81" customFormat="1" ht="19.5" customHeight="1" x14ac:dyDescent="0.35">
      <c r="A19" s="82" t="s">
        <v>53</v>
      </c>
      <c r="B19" s="466" t="s">
        <v>54</v>
      </c>
      <c r="C19" s="467"/>
      <c r="D19" s="467"/>
      <c r="E19" s="467"/>
      <c r="F19" s="467"/>
      <c r="G19" s="468"/>
      <c r="H19" s="83" t="s">
        <v>37</v>
      </c>
      <c r="I19" s="388">
        <v>0.06</v>
      </c>
      <c r="J19" s="389">
        <f t="shared" si="10"/>
        <v>9.3959873284054918E-2</v>
      </c>
      <c r="K19" s="85"/>
      <c r="L19" s="86"/>
      <c r="M19" s="85">
        <f>'[1]ИПЦ-1 (+предложения) (нов ГЦКС'!$P17</f>
        <v>0.06</v>
      </c>
      <c r="N19" s="86">
        <f t="shared" si="0"/>
        <v>1</v>
      </c>
      <c r="O19" s="84">
        <f>'[2]Содержание жилья'!K37</f>
        <v>0.06</v>
      </c>
      <c r="P19" s="91">
        <f t="shared" si="11"/>
        <v>1</v>
      </c>
      <c r="Q19" s="87">
        <f>O19</f>
        <v>0.06</v>
      </c>
      <c r="R19" s="91">
        <f t="shared" ref="R19" si="16">Q19/$I19</f>
        <v>1</v>
      </c>
      <c r="S19" s="87">
        <f>J19</f>
        <v>9.3959873284054918E-2</v>
      </c>
      <c r="T19" s="92">
        <f>S19/J19</f>
        <v>1</v>
      </c>
      <c r="U19" s="87">
        <f t="shared" si="4"/>
        <v>9.3959873284054918E-2</v>
      </c>
      <c r="V19" s="86">
        <f>U19/J19</f>
        <v>1</v>
      </c>
      <c r="W19" s="93">
        <f>I19</f>
        <v>0.06</v>
      </c>
      <c r="X19" s="77">
        <f t="shared" si="6"/>
        <v>1</v>
      </c>
      <c r="Y19" s="94">
        <f t="shared" si="7"/>
        <v>0</v>
      </c>
      <c r="Z19" s="95"/>
      <c r="AA19" s="89"/>
      <c r="AB19" s="96">
        <f t="shared" si="13"/>
        <v>0.06</v>
      </c>
      <c r="AC19" s="79">
        <f t="shared" si="1"/>
        <v>1</v>
      </c>
      <c r="AD19" s="84">
        <v>0.06</v>
      </c>
      <c r="AE19" s="79">
        <f>AD19/$I19</f>
        <v>1</v>
      </c>
      <c r="AF19" s="96">
        <v>0.06</v>
      </c>
      <c r="AG19" s="79">
        <f t="shared" si="9"/>
        <v>1</v>
      </c>
      <c r="AH19" s="80"/>
      <c r="AI19" s="80"/>
    </row>
    <row r="20" spans="1:35" s="81" customFormat="1" ht="19.5" customHeight="1" x14ac:dyDescent="0.35">
      <c r="A20" s="82" t="s">
        <v>55</v>
      </c>
      <c r="B20" s="466" t="s">
        <v>56</v>
      </c>
      <c r="C20" s="467"/>
      <c r="D20" s="467"/>
      <c r="E20" s="467"/>
      <c r="F20" s="467"/>
      <c r="G20" s="468"/>
      <c r="H20" s="83" t="s">
        <v>37</v>
      </c>
      <c r="I20" s="388">
        <v>0.19</v>
      </c>
      <c r="J20" s="389">
        <f t="shared" si="10"/>
        <v>0.29753959873284058</v>
      </c>
      <c r="K20" s="85"/>
      <c r="L20" s="86"/>
      <c r="M20" s="85">
        <f>'[1]ИПЦ-1 (+предложения) (нов ГЦКС'!$P18</f>
        <v>0.19</v>
      </c>
      <c r="N20" s="86">
        <f t="shared" si="0"/>
        <v>1</v>
      </c>
      <c r="O20" s="490" t="s">
        <v>52</v>
      </c>
      <c r="P20" s="491"/>
      <c r="Q20" s="491"/>
      <c r="R20" s="491"/>
      <c r="S20" s="87"/>
      <c r="T20" s="92"/>
      <c r="U20" s="87"/>
      <c r="V20" s="86"/>
      <c r="W20" s="93"/>
      <c r="X20" s="77">
        <f t="shared" si="6"/>
        <v>0</v>
      </c>
      <c r="Y20" s="94">
        <f t="shared" si="7"/>
        <v>-0.19</v>
      </c>
      <c r="Z20" s="95"/>
      <c r="AA20" s="90"/>
      <c r="AB20" s="96">
        <f t="shared" si="13"/>
        <v>0.19</v>
      </c>
      <c r="AC20" s="79">
        <f t="shared" si="1"/>
        <v>1</v>
      </c>
      <c r="AD20" s="492" t="s">
        <v>52</v>
      </c>
      <c r="AE20" s="493"/>
      <c r="AF20" s="96">
        <v>0.19</v>
      </c>
      <c r="AG20" s="79">
        <f t="shared" si="9"/>
        <v>1</v>
      </c>
      <c r="AH20" s="80"/>
      <c r="AI20" s="80"/>
    </row>
    <row r="21" spans="1:35" s="81" customFormat="1" ht="19.5" customHeight="1" x14ac:dyDescent="0.35">
      <c r="A21" s="82" t="s">
        <v>57</v>
      </c>
      <c r="B21" s="466" t="s">
        <v>58</v>
      </c>
      <c r="C21" s="467"/>
      <c r="D21" s="467"/>
      <c r="E21" s="467"/>
      <c r="F21" s="467"/>
      <c r="G21" s="468"/>
      <c r="H21" s="83" t="s">
        <v>37</v>
      </c>
      <c r="I21" s="388">
        <v>0.23</v>
      </c>
      <c r="J21" s="389">
        <f t="shared" si="10"/>
        <v>0.3601795142555439</v>
      </c>
      <c r="K21" s="85"/>
      <c r="L21" s="86"/>
      <c r="M21" s="85">
        <f>'[1]ИПЦ-1 (+предложения) (нов ГЦКС'!$P19</f>
        <v>0.32</v>
      </c>
      <c r="N21" s="86">
        <f t="shared" si="0"/>
        <v>1.3913043478260869</v>
      </c>
      <c r="O21" s="84">
        <f>'[2]Содержание жилья'!K39</f>
        <v>0.23</v>
      </c>
      <c r="P21" s="91">
        <f t="shared" si="11"/>
        <v>1</v>
      </c>
      <c r="Q21" s="87">
        <f>O21</f>
        <v>0.23</v>
      </c>
      <c r="R21" s="91">
        <f t="shared" ref="R21:R25" si="17">Q21/$I21</f>
        <v>1</v>
      </c>
      <c r="S21" s="87">
        <f t="shared" ref="S21:S28" si="18">J21</f>
        <v>0.3601795142555439</v>
      </c>
      <c r="T21" s="92">
        <f t="shared" ref="T21:T28" si="19">S21/J21</f>
        <v>1</v>
      </c>
      <c r="U21" s="87">
        <f t="shared" si="4"/>
        <v>0.3601795142555439</v>
      </c>
      <c r="V21" s="86">
        <f t="shared" ref="V21:V28" si="20">U21/J21</f>
        <v>1</v>
      </c>
      <c r="W21" s="93">
        <f>I21</f>
        <v>0.23</v>
      </c>
      <c r="X21" s="77">
        <f t="shared" si="6"/>
        <v>1</v>
      </c>
      <c r="Y21" s="94">
        <f t="shared" si="7"/>
        <v>0</v>
      </c>
      <c r="Z21" s="95"/>
      <c r="AA21" s="90"/>
      <c r="AB21" s="96">
        <f t="shared" si="13"/>
        <v>0.23</v>
      </c>
      <c r="AC21" s="79">
        <f>AB21/$I21</f>
        <v>1</v>
      </c>
      <c r="AD21" s="84">
        <v>0.23</v>
      </c>
      <c r="AE21" s="79">
        <f t="shared" ref="AE21:AE36" si="21">AD21/$I21</f>
        <v>1</v>
      </c>
      <c r="AF21" s="96">
        <v>0.23</v>
      </c>
      <c r="AG21" s="79">
        <f>AF21/$I21</f>
        <v>1</v>
      </c>
      <c r="AH21" s="80"/>
      <c r="AI21" s="80"/>
    </row>
    <row r="22" spans="1:35" s="81" customFormat="1" ht="19.5" customHeight="1" x14ac:dyDescent="0.35">
      <c r="A22" s="31" t="s">
        <v>59</v>
      </c>
      <c r="B22" s="481" t="s">
        <v>60</v>
      </c>
      <c r="C22" s="482"/>
      <c r="D22" s="482"/>
      <c r="E22" s="482"/>
      <c r="F22" s="482"/>
      <c r="G22" s="483"/>
      <c r="H22" s="67" t="s">
        <v>34</v>
      </c>
      <c r="I22" s="386">
        <f>I23+I24</f>
        <v>0.59000000000000008</v>
      </c>
      <c r="J22" s="387">
        <f t="shared" si="10"/>
        <v>0.92393875395987346</v>
      </c>
      <c r="K22" s="70">
        <f>I22</f>
        <v>0.59000000000000008</v>
      </c>
      <c r="L22" s="71">
        <f>K22/I22</f>
        <v>1</v>
      </c>
      <c r="M22" s="70">
        <f>M23+M24</f>
        <v>0.65999999999999992</v>
      </c>
      <c r="N22" s="71">
        <f t="shared" si="0"/>
        <v>1.1186440677966099</v>
      </c>
      <c r="O22" s="68">
        <f>'[2]Содержание жилья'!K40</f>
        <v>0.71</v>
      </c>
      <c r="P22" s="74">
        <f t="shared" si="11"/>
        <v>1.2033898305084743</v>
      </c>
      <c r="Q22" s="72">
        <f>O22</f>
        <v>0.71</v>
      </c>
      <c r="R22" s="74">
        <f t="shared" si="17"/>
        <v>1.2033898305084743</v>
      </c>
      <c r="S22" s="72">
        <f t="shared" si="18"/>
        <v>0.92393875395987346</v>
      </c>
      <c r="T22" s="74">
        <f t="shared" si="19"/>
        <v>1</v>
      </c>
      <c r="U22" s="72">
        <f t="shared" si="4"/>
        <v>0.92393875395987346</v>
      </c>
      <c r="V22" s="71">
        <f t="shared" si="20"/>
        <v>1</v>
      </c>
      <c r="W22" s="414">
        <f>I22</f>
        <v>0.59000000000000008</v>
      </c>
      <c r="X22" s="73">
        <f t="shared" si="6"/>
        <v>1</v>
      </c>
      <c r="Y22" s="97">
        <f t="shared" si="7"/>
        <v>0</v>
      </c>
      <c r="Z22" s="76"/>
      <c r="AA22" s="98"/>
      <c r="AB22" s="78">
        <f t="shared" si="13"/>
        <v>0.59000000000000008</v>
      </c>
      <c r="AC22" s="79">
        <f>AB22/$I22</f>
        <v>1</v>
      </c>
      <c r="AD22" s="78">
        <v>0.71</v>
      </c>
      <c r="AE22" s="79">
        <f t="shared" si="21"/>
        <v>1.2033898305084743</v>
      </c>
      <c r="AF22" s="78">
        <v>0.59000000000000008</v>
      </c>
      <c r="AG22" s="79">
        <f>AF22/$I22</f>
        <v>1</v>
      </c>
      <c r="AH22" s="80"/>
      <c r="AI22" s="80"/>
    </row>
    <row r="23" spans="1:35" s="81" customFormat="1" ht="19.5" customHeight="1" x14ac:dyDescent="0.35">
      <c r="A23" s="82" t="s">
        <v>61</v>
      </c>
      <c r="B23" s="484" t="s">
        <v>62</v>
      </c>
      <c r="C23" s="485"/>
      <c r="D23" s="485"/>
      <c r="E23" s="485"/>
      <c r="F23" s="485"/>
      <c r="G23" s="486"/>
      <c r="H23" s="83" t="s">
        <v>37</v>
      </c>
      <c r="I23" s="388">
        <v>0.53</v>
      </c>
      <c r="J23" s="389">
        <f t="shared" si="10"/>
        <v>0.82997888067581849</v>
      </c>
      <c r="K23" s="85"/>
      <c r="L23" s="86"/>
      <c r="M23" s="85">
        <f>'[1]ИПЦ-1 (+предложения) (нов ГЦКС'!$P22</f>
        <v>0.6</v>
      </c>
      <c r="N23" s="86">
        <f t="shared" si="0"/>
        <v>1.1320754716981132</v>
      </c>
      <c r="O23" s="84"/>
      <c r="P23" s="91">
        <f t="shared" si="11"/>
        <v>0</v>
      </c>
      <c r="Q23" s="87"/>
      <c r="R23" s="91">
        <f t="shared" si="17"/>
        <v>0</v>
      </c>
      <c r="S23" s="87">
        <f t="shared" si="18"/>
        <v>0.82997888067581849</v>
      </c>
      <c r="T23" s="92">
        <f t="shared" si="19"/>
        <v>1</v>
      </c>
      <c r="U23" s="87">
        <f t="shared" si="4"/>
        <v>0.82997888067581849</v>
      </c>
      <c r="V23" s="86">
        <f t="shared" si="20"/>
        <v>1</v>
      </c>
      <c r="W23" s="93">
        <f>I23</f>
        <v>0.53</v>
      </c>
      <c r="X23" s="77">
        <f t="shared" si="6"/>
        <v>1</v>
      </c>
      <c r="Y23" s="94">
        <f t="shared" si="7"/>
        <v>0</v>
      </c>
      <c r="Z23" s="95"/>
      <c r="AA23" s="90"/>
      <c r="AB23" s="96">
        <f t="shared" si="13"/>
        <v>0.53</v>
      </c>
      <c r="AC23" s="79">
        <f t="shared" ref="AC23:AC40" si="22">AB23/$I23</f>
        <v>1</v>
      </c>
      <c r="AD23" s="84"/>
      <c r="AE23" s="79">
        <f t="shared" si="21"/>
        <v>0</v>
      </c>
      <c r="AF23" s="96">
        <v>0.53</v>
      </c>
      <c r="AG23" s="79">
        <f t="shared" ref="AG23:AG40" si="23">AF23/$I23</f>
        <v>1</v>
      </c>
      <c r="AH23" s="80"/>
      <c r="AI23" s="80"/>
    </row>
    <row r="24" spans="1:35" s="81" customFormat="1" ht="19.5" customHeight="1" x14ac:dyDescent="0.35">
      <c r="A24" s="82" t="s">
        <v>63</v>
      </c>
      <c r="B24" s="484" t="s">
        <v>64</v>
      </c>
      <c r="C24" s="485"/>
      <c r="D24" s="485"/>
      <c r="E24" s="485"/>
      <c r="F24" s="485"/>
      <c r="G24" s="486"/>
      <c r="H24" s="83" t="s">
        <v>37</v>
      </c>
      <c r="I24" s="388">
        <v>0.06</v>
      </c>
      <c r="J24" s="389">
        <f t="shared" si="10"/>
        <v>9.3959873284054918E-2</v>
      </c>
      <c r="K24" s="85"/>
      <c r="L24" s="86"/>
      <c r="M24" s="85">
        <f>'[1]ИПЦ-1 (+предложения) (нов ГЦКС'!$P23</f>
        <v>0.06</v>
      </c>
      <c r="N24" s="86">
        <f t="shared" si="0"/>
        <v>1</v>
      </c>
      <c r="O24" s="84"/>
      <c r="P24" s="91">
        <f t="shared" si="11"/>
        <v>0</v>
      </c>
      <c r="Q24" s="87"/>
      <c r="R24" s="91">
        <f t="shared" si="17"/>
        <v>0</v>
      </c>
      <c r="S24" s="87">
        <f t="shared" si="18"/>
        <v>9.3959873284054918E-2</v>
      </c>
      <c r="T24" s="92">
        <f t="shared" si="19"/>
        <v>1</v>
      </c>
      <c r="U24" s="87">
        <f t="shared" si="4"/>
        <v>9.3959873284054918E-2</v>
      </c>
      <c r="V24" s="86">
        <f t="shared" si="20"/>
        <v>1</v>
      </c>
      <c r="W24" s="93">
        <f>I24</f>
        <v>0.06</v>
      </c>
      <c r="X24" s="77">
        <f t="shared" si="6"/>
        <v>1</v>
      </c>
      <c r="Y24" s="94">
        <f t="shared" si="7"/>
        <v>0</v>
      </c>
      <c r="Z24" s="95"/>
      <c r="AA24" s="90"/>
      <c r="AB24" s="96">
        <f t="shared" si="13"/>
        <v>0.06</v>
      </c>
      <c r="AC24" s="79">
        <f t="shared" si="22"/>
        <v>1</v>
      </c>
      <c r="AD24" s="84"/>
      <c r="AE24" s="99">
        <f t="shared" si="21"/>
        <v>0</v>
      </c>
      <c r="AF24" s="96">
        <v>0.06</v>
      </c>
      <c r="AG24" s="79">
        <f t="shared" si="23"/>
        <v>1</v>
      </c>
      <c r="AH24" s="80"/>
      <c r="AI24" s="80"/>
    </row>
    <row r="25" spans="1:35" ht="24.6" x14ac:dyDescent="0.35">
      <c r="A25" s="43" t="s">
        <v>65</v>
      </c>
      <c r="B25" s="478" t="s">
        <v>66</v>
      </c>
      <c r="C25" s="479"/>
      <c r="D25" s="479"/>
      <c r="E25" s="479"/>
      <c r="F25" s="479"/>
      <c r="G25" s="480"/>
      <c r="H25" s="44" t="s">
        <v>34</v>
      </c>
      <c r="I25" s="390">
        <v>1.45</v>
      </c>
      <c r="J25" s="391">
        <f t="shared" si="10"/>
        <v>2.270696937697994</v>
      </c>
      <c r="K25" s="101">
        <f>I25</f>
        <v>1.45</v>
      </c>
      <c r="L25" s="48">
        <f>K25/I25</f>
        <v>1</v>
      </c>
      <c r="M25" s="101">
        <f>'[1]ИПЦ-1 (+предложения) (нов ГЦКС'!$P$24</f>
        <v>3.57</v>
      </c>
      <c r="N25" s="48">
        <f t="shared" si="0"/>
        <v>2.4620689655172412</v>
      </c>
      <c r="O25" s="100">
        <f>'[2]Содержание жилья'!K38</f>
        <v>1.46</v>
      </c>
      <c r="P25" s="53">
        <f t="shared" si="11"/>
        <v>1.0068965517241379</v>
      </c>
      <c r="Q25" s="102">
        <f>O25</f>
        <v>1.46</v>
      </c>
      <c r="R25" s="53">
        <f t="shared" si="17"/>
        <v>1.0068965517241379</v>
      </c>
      <c r="S25" s="102">
        <f t="shared" si="18"/>
        <v>2.270696937697994</v>
      </c>
      <c r="T25" s="53">
        <f t="shared" si="19"/>
        <v>1</v>
      </c>
      <c r="U25" s="102">
        <f t="shared" si="4"/>
        <v>2.270696937697994</v>
      </c>
      <c r="V25" s="48">
        <f t="shared" si="20"/>
        <v>1</v>
      </c>
      <c r="W25" s="104">
        <f>AB25</f>
        <v>1.68</v>
      </c>
      <c r="X25" s="54">
        <f t="shared" si="6"/>
        <v>1.1586206896551725</v>
      </c>
      <c r="Y25" s="105">
        <f t="shared" si="7"/>
        <v>0.22999999999999998</v>
      </c>
      <c r="Z25" s="106">
        <f>'[3]табл. 2 и 3. три инд.'!H56</f>
        <v>1.62</v>
      </c>
      <c r="AA25" s="52">
        <f>Z25/$I25</f>
        <v>1.1172413793103448</v>
      </c>
      <c r="AB25" s="100">
        <f>'[3]табл.2 и 3. четыре инд.'!H54</f>
        <v>1.68</v>
      </c>
      <c r="AC25" s="50">
        <f t="shared" si="22"/>
        <v>1.1586206896551725</v>
      </c>
      <c r="AD25" s="100">
        <v>1.46</v>
      </c>
      <c r="AE25" s="103">
        <f t="shared" si="21"/>
        <v>1.0068965517241379</v>
      </c>
      <c r="AF25" s="100">
        <f>AB25</f>
        <v>1.68</v>
      </c>
      <c r="AG25" s="50">
        <f t="shared" si="23"/>
        <v>1.1586206896551725</v>
      </c>
    </row>
    <row r="26" spans="1:35" s="81" customFormat="1" ht="22.8" x14ac:dyDescent="0.35">
      <c r="A26" s="31" t="s">
        <v>67</v>
      </c>
      <c r="B26" s="481" t="s">
        <v>68</v>
      </c>
      <c r="C26" s="482"/>
      <c r="D26" s="482"/>
      <c r="E26" s="482"/>
      <c r="F26" s="482"/>
      <c r="G26" s="483"/>
      <c r="H26" s="67" t="s">
        <v>34</v>
      </c>
      <c r="I26" s="386">
        <f>I27+I28</f>
        <v>3.5599999999999996</v>
      </c>
      <c r="J26" s="387">
        <f t="shared" si="10"/>
        <v>5.5749524815205911</v>
      </c>
      <c r="K26" s="70">
        <f>I26</f>
        <v>3.5599999999999996</v>
      </c>
      <c r="L26" s="107">
        <f>K26/I26</f>
        <v>1</v>
      </c>
      <c r="M26" s="70">
        <f>M27+M28</f>
        <v>4.24</v>
      </c>
      <c r="N26" s="107">
        <f t="shared" si="0"/>
        <v>1.1910112359550564</v>
      </c>
      <c r="O26" s="68">
        <f>'[2]Содержание жилья'!K42</f>
        <v>3.5599999999999996</v>
      </c>
      <c r="P26" s="108">
        <f>O26/$I26</f>
        <v>1</v>
      </c>
      <c r="Q26" s="72">
        <f>Q27+Q28</f>
        <v>3.5599999999999996</v>
      </c>
      <c r="R26" s="108">
        <f>Q26/$I26</f>
        <v>1</v>
      </c>
      <c r="S26" s="72">
        <f t="shared" si="18"/>
        <v>5.5749524815205911</v>
      </c>
      <c r="T26" s="108">
        <f t="shared" si="19"/>
        <v>1</v>
      </c>
      <c r="U26" s="72">
        <f t="shared" si="4"/>
        <v>5.5749524815205911</v>
      </c>
      <c r="V26" s="107">
        <f t="shared" si="20"/>
        <v>1</v>
      </c>
      <c r="W26" s="414">
        <f>I26</f>
        <v>3.5599999999999996</v>
      </c>
      <c r="X26" s="75">
        <f t="shared" si="6"/>
        <v>1</v>
      </c>
      <c r="Y26" s="97">
        <f t="shared" si="7"/>
        <v>0</v>
      </c>
      <c r="Z26" s="76">
        <v>3.56</v>
      </c>
      <c r="AA26" s="98"/>
      <c r="AB26" s="78">
        <f>I26</f>
        <v>3.5599999999999996</v>
      </c>
      <c r="AC26" s="79">
        <f t="shared" si="22"/>
        <v>1</v>
      </c>
      <c r="AD26" s="78">
        <v>3.5599999999999996</v>
      </c>
      <c r="AE26" s="79">
        <f t="shared" si="21"/>
        <v>1</v>
      </c>
      <c r="AF26" s="78">
        <f>AF27+AF28</f>
        <v>3.5599999999999996</v>
      </c>
      <c r="AG26" s="79">
        <f t="shared" si="23"/>
        <v>1</v>
      </c>
      <c r="AH26" s="80"/>
      <c r="AI26" s="80"/>
    </row>
    <row r="27" spans="1:35" s="81" customFormat="1" ht="19.5" customHeight="1" x14ac:dyDescent="0.35">
      <c r="A27" s="109" t="s">
        <v>69</v>
      </c>
      <c r="B27" s="487" t="s">
        <v>70</v>
      </c>
      <c r="C27" s="488"/>
      <c r="D27" s="488"/>
      <c r="E27" s="488"/>
      <c r="F27" s="488"/>
      <c r="G27" s="489"/>
      <c r="H27" s="83" t="s">
        <v>37</v>
      </c>
      <c r="I27" s="388">
        <v>2.5299999999999998</v>
      </c>
      <c r="J27" s="389">
        <f t="shared" si="10"/>
        <v>3.9619746568109822</v>
      </c>
      <c r="K27" s="85"/>
      <c r="L27" s="86"/>
      <c r="M27" s="85">
        <f>'[1]ИПЦ-1 (+предложения)'!$V26</f>
        <v>3.09</v>
      </c>
      <c r="N27" s="86">
        <f t="shared" si="0"/>
        <v>1.2213438735177866</v>
      </c>
      <c r="O27" s="110">
        <f>'[2]Содержание жилья'!K44</f>
        <v>2.5299999999999998</v>
      </c>
      <c r="P27" s="91">
        <f t="shared" si="11"/>
        <v>1</v>
      </c>
      <c r="Q27" s="111">
        <f t="shared" ref="Q27:Q34" si="24">O27</f>
        <v>2.5299999999999998</v>
      </c>
      <c r="R27" s="112">
        <f t="shared" ref="R27:R40" si="25">Q27/$I27</f>
        <v>1</v>
      </c>
      <c r="S27" s="85">
        <f t="shared" si="18"/>
        <v>3.9619746568109822</v>
      </c>
      <c r="T27" s="92">
        <f t="shared" si="19"/>
        <v>1</v>
      </c>
      <c r="U27" s="87">
        <f t="shared" si="4"/>
        <v>3.9619746568109822</v>
      </c>
      <c r="V27" s="86">
        <f t="shared" si="20"/>
        <v>1</v>
      </c>
      <c r="W27" s="93">
        <f>I27</f>
        <v>2.5299999999999998</v>
      </c>
      <c r="X27" s="77">
        <f t="shared" si="6"/>
        <v>1</v>
      </c>
      <c r="Y27" s="94">
        <f t="shared" si="7"/>
        <v>0</v>
      </c>
      <c r="Z27" s="95"/>
      <c r="AA27" s="90"/>
      <c r="AB27" s="110">
        <f>I27</f>
        <v>2.5299999999999998</v>
      </c>
      <c r="AC27" s="79">
        <f t="shared" si="22"/>
        <v>1</v>
      </c>
      <c r="AD27" s="110">
        <v>2.5299999999999998</v>
      </c>
      <c r="AE27" s="99">
        <f t="shared" si="21"/>
        <v>1</v>
      </c>
      <c r="AF27" s="110">
        <f>AB27</f>
        <v>2.5299999999999998</v>
      </c>
      <c r="AG27" s="79">
        <f t="shared" si="23"/>
        <v>1</v>
      </c>
      <c r="AH27" s="80"/>
      <c r="AI27" s="80"/>
    </row>
    <row r="28" spans="1:35" s="81" customFormat="1" ht="19.5" customHeight="1" x14ac:dyDescent="0.35">
      <c r="A28" s="109" t="s">
        <v>71</v>
      </c>
      <c r="B28" s="487" t="s">
        <v>72</v>
      </c>
      <c r="C28" s="488"/>
      <c r="D28" s="488"/>
      <c r="E28" s="488"/>
      <c r="F28" s="488"/>
      <c r="G28" s="489"/>
      <c r="H28" s="83" t="s">
        <v>37</v>
      </c>
      <c r="I28" s="388">
        <v>1.03</v>
      </c>
      <c r="J28" s="389">
        <f t="shared" si="10"/>
        <v>1.6129778247096096</v>
      </c>
      <c r="K28" s="85"/>
      <c r="L28" s="86"/>
      <c r="M28" s="85">
        <f>'[1]ИПЦ-1 (+предложения)'!$V27</f>
        <v>1.1499999999999999</v>
      </c>
      <c r="N28" s="86">
        <f t="shared" si="0"/>
        <v>1.116504854368932</v>
      </c>
      <c r="O28" s="110">
        <f>'[2]Содержание жилья'!K43</f>
        <v>1.03</v>
      </c>
      <c r="P28" s="91">
        <f t="shared" si="11"/>
        <v>1</v>
      </c>
      <c r="Q28" s="111">
        <f t="shared" si="24"/>
        <v>1.03</v>
      </c>
      <c r="R28" s="112">
        <f t="shared" si="25"/>
        <v>1</v>
      </c>
      <c r="S28" s="85">
        <f t="shared" si="18"/>
        <v>1.6129778247096096</v>
      </c>
      <c r="T28" s="92">
        <f t="shared" si="19"/>
        <v>1</v>
      </c>
      <c r="U28" s="87">
        <f t="shared" si="4"/>
        <v>1.6129778247096096</v>
      </c>
      <c r="V28" s="86">
        <f t="shared" si="20"/>
        <v>1</v>
      </c>
      <c r="W28" s="93">
        <f>I28</f>
        <v>1.03</v>
      </c>
      <c r="X28" s="77">
        <f t="shared" si="6"/>
        <v>1</v>
      </c>
      <c r="Y28" s="94">
        <f t="shared" si="7"/>
        <v>0</v>
      </c>
      <c r="Z28" s="95"/>
      <c r="AA28" s="90"/>
      <c r="AB28" s="110">
        <f>I28</f>
        <v>1.03</v>
      </c>
      <c r="AC28" s="79">
        <f t="shared" si="22"/>
        <v>1</v>
      </c>
      <c r="AD28" s="110">
        <v>1.03</v>
      </c>
      <c r="AE28" s="99">
        <f t="shared" si="21"/>
        <v>1</v>
      </c>
      <c r="AF28" s="110">
        <f>AB28</f>
        <v>1.03</v>
      </c>
      <c r="AG28" s="79">
        <f t="shared" si="23"/>
        <v>1</v>
      </c>
      <c r="AH28" s="80"/>
      <c r="AI28" s="80"/>
    </row>
    <row r="29" spans="1:35" s="81" customFormat="1" ht="23.25" hidden="1" customHeight="1" thickBot="1" x14ac:dyDescent="0.4">
      <c r="A29" s="413" t="s">
        <v>136</v>
      </c>
      <c r="B29" s="494" t="s">
        <v>104</v>
      </c>
      <c r="C29" s="495"/>
      <c r="D29" s="495"/>
      <c r="E29" s="495"/>
      <c r="F29" s="495"/>
      <c r="G29" s="496"/>
      <c r="H29" s="83" t="s">
        <v>37</v>
      </c>
      <c r="I29" s="388"/>
      <c r="J29" s="389"/>
      <c r="K29" s="85"/>
      <c r="L29" s="86"/>
      <c r="M29" s="85"/>
      <c r="N29" s="86"/>
      <c r="O29" s="110"/>
      <c r="P29" s="91"/>
      <c r="Q29" s="111"/>
      <c r="R29" s="112"/>
      <c r="S29" s="85"/>
      <c r="T29" s="92"/>
      <c r="U29" s="410"/>
      <c r="V29" s="86"/>
      <c r="W29" s="414"/>
      <c r="X29" s="77"/>
      <c r="Y29" s="94"/>
      <c r="Z29" s="95"/>
      <c r="AA29" s="90"/>
      <c r="AB29" s="110"/>
      <c r="AC29" s="79"/>
      <c r="AD29" s="110"/>
      <c r="AE29" s="99"/>
      <c r="AF29" s="110"/>
      <c r="AG29" s="79"/>
      <c r="AH29" s="80"/>
      <c r="AI29" s="80"/>
    </row>
    <row r="30" spans="1:35" ht="25.2" x14ac:dyDescent="0.35">
      <c r="A30" s="43" t="s">
        <v>73</v>
      </c>
      <c r="B30" s="478" t="s">
        <v>74</v>
      </c>
      <c r="C30" s="479"/>
      <c r="D30" s="479"/>
      <c r="E30" s="479"/>
      <c r="F30" s="479"/>
      <c r="G30" s="480"/>
      <c r="H30" s="44" t="s">
        <v>34</v>
      </c>
      <c r="I30" s="382">
        <v>5.08</v>
      </c>
      <c r="J30" s="383">
        <f>$H$9/$I$12*I30+0.01</f>
        <v>7.9652692713833169</v>
      </c>
      <c r="K30" s="47">
        <v>5.37</v>
      </c>
      <c r="L30" s="113">
        <f t="shared" ref="L30:L36" si="26">K30/I30</f>
        <v>1.0570866141732282</v>
      </c>
      <c r="M30" s="47">
        <f>'[1]ИПЦ-1 (+предложения) (нов ГЦКС'!P28</f>
        <v>7.89</v>
      </c>
      <c r="N30" s="113">
        <f t="shared" si="0"/>
        <v>1.5531496062992125</v>
      </c>
      <c r="O30" s="45">
        <f>[2]Тек.ремонт!H22</f>
        <v>5.23</v>
      </c>
      <c r="P30" s="114">
        <f t="shared" si="11"/>
        <v>1.0295275590551183</v>
      </c>
      <c r="Q30" s="49">
        <f t="shared" si="24"/>
        <v>5.23</v>
      </c>
      <c r="R30" s="115">
        <f t="shared" si="25"/>
        <v>1.0295275590551183</v>
      </c>
      <c r="S30" s="47">
        <f t="shared" ref="S30:S40" si="27">J30</f>
        <v>7.9652692713833169</v>
      </c>
      <c r="T30" s="53">
        <f t="shared" ref="T30:T40" si="28">S30/J30</f>
        <v>1</v>
      </c>
      <c r="U30" s="49">
        <f t="shared" si="4"/>
        <v>7.9652692713833169</v>
      </c>
      <c r="V30" s="113">
        <f t="shared" ref="V30:V40" si="29">U30/J30</f>
        <v>1</v>
      </c>
      <c r="W30" s="51">
        <f>I30</f>
        <v>5.08</v>
      </c>
      <c r="X30" s="54">
        <f t="shared" ref="X30:X40" si="30">W30/I30</f>
        <v>1</v>
      </c>
      <c r="Y30" s="55">
        <f t="shared" ref="Y30:Y40" si="31">W30-I30</f>
        <v>0</v>
      </c>
      <c r="Z30" s="56">
        <v>4.9400000000000004</v>
      </c>
      <c r="AA30" s="52">
        <f t="shared" ref="AA30:AA40" si="32">Z30/$I30</f>
        <v>0.97244094488188981</v>
      </c>
      <c r="AB30" s="45">
        <f>'[3]табл.2 и 3. четыре инд.'!J54</f>
        <v>5.01</v>
      </c>
      <c r="AC30" s="50">
        <f t="shared" si="22"/>
        <v>0.9862204724409448</v>
      </c>
      <c r="AD30" s="45">
        <v>5.23</v>
      </c>
      <c r="AE30" s="103">
        <f t="shared" si="21"/>
        <v>1.0295275590551183</v>
      </c>
      <c r="AF30" s="45">
        <f>AB30</f>
        <v>5.01</v>
      </c>
      <c r="AG30" s="50">
        <f t="shared" si="23"/>
        <v>0.9862204724409448</v>
      </c>
    </row>
    <row r="31" spans="1:35" ht="76.5" customHeight="1" x14ac:dyDescent="0.35">
      <c r="A31" s="43" t="s">
        <v>75</v>
      </c>
      <c r="B31" s="478" t="s">
        <v>76</v>
      </c>
      <c r="C31" s="479"/>
      <c r="D31" s="479"/>
      <c r="E31" s="479"/>
      <c r="F31" s="479"/>
      <c r="G31" s="480"/>
      <c r="H31" s="44" t="s">
        <v>34</v>
      </c>
      <c r="I31" s="382">
        <v>1.29</v>
      </c>
      <c r="J31" s="383">
        <f>$H$9/$I$12*I31</f>
        <v>2.0201372756071807</v>
      </c>
      <c r="K31" s="47">
        <f t="shared" ref="K31:K36" si="33">I31</f>
        <v>1.29</v>
      </c>
      <c r="L31" s="113">
        <f t="shared" si="26"/>
        <v>1</v>
      </c>
      <c r="M31" s="47">
        <f>'[1]ИПЦ-1 (+предложения) (нов ГЦКС'!P29</f>
        <v>2.2400000000000002</v>
      </c>
      <c r="N31" s="113">
        <f t="shared" si="0"/>
        <v>1.736434108527132</v>
      </c>
      <c r="O31" s="45">
        <f>'[2]Сан.очистка зем.уч.'!I23</f>
        <v>1.38</v>
      </c>
      <c r="P31" s="114">
        <f t="shared" si="11"/>
        <v>1.069767441860465</v>
      </c>
      <c r="Q31" s="49">
        <f t="shared" si="24"/>
        <v>1.38</v>
      </c>
      <c r="R31" s="115">
        <f t="shared" si="25"/>
        <v>1.069767441860465</v>
      </c>
      <c r="S31" s="47">
        <f t="shared" si="27"/>
        <v>2.0201372756071807</v>
      </c>
      <c r="T31" s="53">
        <f t="shared" si="28"/>
        <v>1</v>
      </c>
      <c r="U31" s="49">
        <f t="shared" si="4"/>
        <v>2.0201372756071807</v>
      </c>
      <c r="V31" s="113">
        <f t="shared" si="29"/>
        <v>1</v>
      </c>
      <c r="W31" s="51">
        <f t="shared" ref="W31:W50" si="34">AB31</f>
        <v>1.53</v>
      </c>
      <c r="X31" s="54">
        <f t="shared" si="30"/>
        <v>1.1860465116279069</v>
      </c>
      <c r="Y31" s="55">
        <f t="shared" si="31"/>
        <v>0.24</v>
      </c>
      <c r="Z31" s="56">
        <v>1.49</v>
      </c>
      <c r="AA31" s="52">
        <f t="shared" si="32"/>
        <v>1.1550387596899225</v>
      </c>
      <c r="AB31" s="45">
        <f>'[3]табл.2 и 3. четыре инд.'!L54</f>
        <v>1.53</v>
      </c>
      <c r="AC31" s="50">
        <f t="shared" si="22"/>
        <v>1.1860465116279069</v>
      </c>
      <c r="AD31" s="45">
        <v>1.38</v>
      </c>
      <c r="AE31" s="103">
        <f t="shared" si="21"/>
        <v>1.069767441860465</v>
      </c>
      <c r="AF31" s="45">
        <f>AB31</f>
        <v>1.53</v>
      </c>
      <c r="AG31" s="50">
        <f t="shared" si="23"/>
        <v>1.1860465116279069</v>
      </c>
    </row>
    <row r="32" spans="1:35" ht="25.2" x14ac:dyDescent="0.35">
      <c r="A32" s="43" t="s">
        <v>77</v>
      </c>
      <c r="B32" s="478" t="s">
        <v>78</v>
      </c>
      <c r="C32" s="479"/>
      <c r="D32" s="479"/>
      <c r="E32" s="479"/>
      <c r="F32" s="479"/>
      <c r="G32" s="480"/>
      <c r="H32" s="44" t="s">
        <v>34</v>
      </c>
      <c r="I32" s="382">
        <v>1.0900000000000001</v>
      </c>
      <c r="J32" s="383">
        <f>$H$9/$I$12*I32</f>
        <v>1.7069376979936646</v>
      </c>
      <c r="K32" s="47">
        <f t="shared" si="33"/>
        <v>1.0900000000000001</v>
      </c>
      <c r="L32" s="113">
        <f t="shared" si="26"/>
        <v>1</v>
      </c>
      <c r="M32" s="47">
        <f>'[1]ИПЦ-1 (+предложения) (нов ГЦКС'!P30</f>
        <v>2.14</v>
      </c>
      <c r="N32" s="113">
        <f t="shared" si="0"/>
        <v>1.963302752293578</v>
      </c>
      <c r="O32" s="45">
        <f>'[2]Очистка мусоропровода'!I22</f>
        <v>1.1681999999999999</v>
      </c>
      <c r="P32" s="114">
        <f t="shared" si="11"/>
        <v>1.0717431192660549</v>
      </c>
      <c r="Q32" s="49">
        <f t="shared" si="24"/>
        <v>1.1681999999999999</v>
      </c>
      <c r="R32" s="115">
        <f t="shared" si="25"/>
        <v>1.0717431192660549</v>
      </c>
      <c r="S32" s="47">
        <f t="shared" si="27"/>
        <v>1.7069376979936646</v>
      </c>
      <c r="T32" s="53">
        <f t="shared" si="28"/>
        <v>1</v>
      </c>
      <c r="U32" s="49">
        <f t="shared" si="4"/>
        <v>1.7069376979936646</v>
      </c>
      <c r="V32" s="113">
        <f t="shared" si="29"/>
        <v>1</v>
      </c>
      <c r="W32" s="51">
        <f t="shared" si="34"/>
        <v>1.26</v>
      </c>
      <c r="X32" s="54">
        <f t="shared" si="30"/>
        <v>1.1559633027522935</v>
      </c>
      <c r="Y32" s="55">
        <f t="shared" si="31"/>
        <v>0.16999999999999993</v>
      </c>
      <c r="Z32" s="56">
        <v>1.22</v>
      </c>
      <c r="AA32" s="52">
        <f t="shared" si="32"/>
        <v>1.1192660550458715</v>
      </c>
      <c r="AB32" s="45">
        <f>'[3]табл.2 и 3. четыре инд.'!N54</f>
        <v>1.26</v>
      </c>
      <c r="AC32" s="50">
        <f t="shared" si="22"/>
        <v>1.1559633027522935</v>
      </c>
      <c r="AD32" s="45">
        <v>1.1681999999999999</v>
      </c>
      <c r="AE32" s="103">
        <f t="shared" si="21"/>
        <v>1.0717431192660549</v>
      </c>
      <c r="AF32" s="45">
        <f>AB32</f>
        <v>1.26</v>
      </c>
      <c r="AG32" s="50">
        <f t="shared" si="23"/>
        <v>1.1559633027522935</v>
      </c>
    </row>
    <row r="33" spans="1:35" s="81" customFormat="1" ht="24" customHeight="1" x14ac:dyDescent="0.35">
      <c r="A33" s="31" t="s">
        <v>79</v>
      </c>
      <c r="B33" s="481" t="s">
        <v>80</v>
      </c>
      <c r="C33" s="482"/>
      <c r="D33" s="482"/>
      <c r="E33" s="482"/>
      <c r="F33" s="482"/>
      <c r="G33" s="483"/>
      <c r="H33" s="67" t="s">
        <v>34</v>
      </c>
      <c r="I33" s="382">
        <v>0.53</v>
      </c>
      <c r="J33" s="383">
        <f>$H$9/$I$12*I33</f>
        <v>0.82997888067581849</v>
      </c>
      <c r="K33" s="118">
        <f t="shared" si="33"/>
        <v>0.53</v>
      </c>
      <c r="L33" s="119">
        <f t="shared" si="26"/>
        <v>1</v>
      </c>
      <c r="M33" s="118">
        <f>'[1]ИПЦ-1 (+предложения) (нов ГЦКС'!P31</f>
        <v>0.53</v>
      </c>
      <c r="N33" s="119">
        <f t="shared" si="0"/>
        <v>1</v>
      </c>
      <c r="O33" s="116">
        <f>'[2]ПЗУ и АППЗ'!H19</f>
        <v>0.53</v>
      </c>
      <c r="P33" s="123">
        <f t="shared" si="11"/>
        <v>1</v>
      </c>
      <c r="Q33" s="121">
        <f t="shared" si="24"/>
        <v>0.53</v>
      </c>
      <c r="R33" s="124">
        <f t="shared" si="25"/>
        <v>1</v>
      </c>
      <c r="S33" s="118">
        <f t="shared" si="27"/>
        <v>0.82997888067581849</v>
      </c>
      <c r="T33" s="92">
        <f t="shared" si="28"/>
        <v>1</v>
      </c>
      <c r="U33" s="121">
        <f t="shared" si="4"/>
        <v>0.82997888067581849</v>
      </c>
      <c r="V33" s="119">
        <f t="shared" si="29"/>
        <v>1</v>
      </c>
      <c r="W33" s="38">
        <f t="shared" si="34"/>
        <v>0.34</v>
      </c>
      <c r="X33" s="77">
        <f t="shared" si="30"/>
        <v>0.64150943396226412</v>
      </c>
      <c r="Y33" s="41">
        <f t="shared" si="31"/>
        <v>-0.19</v>
      </c>
      <c r="Z33" s="42">
        <v>0.34</v>
      </c>
      <c r="AA33" s="98">
        <f t="shared" si="32"/>
        <v>0.64150943396226412</v>
      </c>
      <c r="AB33" s="116">
        <v>0.34</v>
      </c>
      <c r="AC33" s="79">
        <f t="shared" si="22"/>
        <v>0.64150943396226412</v>
      </c>
      <c r="AD33" s="116">
        <v>0.53</v>
      </c>
      <c r="AE33" s="99">
        <f t="shared" si="21"/>
        <v>1</v>
      </c>
      <c r="AF33" s="116">
        <v>0.34</v>
      </c>
      <c r="AG33" s="79">
        <f t="shared" si="23"/>
        <v>0.64150943396226412</v>
      </c>
      <c r="AH33" s="80"/>
      <c r="AI33" s="80"/>
    </row>
    <row r="34" spans="1:35" ht="24" customHeight="1" x14ac:dyDescent="0.35">
      <c r="A34" s="43" t="s">
        <v>81</v>
      </c>
      <c r="B34" s="478" t="s">
        <v>82</v>
      </c>
      <c r="C34" s="479"/>
      <c r="D34" s="479"/>
      <c r="E34" s="479"/>
      <c r="F34" s="479"/>
      <c r="G34" s="480"/>
      <c r="H34" s="44" t="s">
        <v>34</v>
      </c>
      <c r="I34" s="382">
        <v>0.41</v>
      </c>
      <c r="J34" s="383">
        <f>$H$9/$I$12*I34+0.01</f>
        <v>0.65205913410770855</v>
      </c>
      <c r="K34" s="47">
        <f t="shared" si="33"/>
        <v>0.41</v>
      </c>
      <c r="L34" s="113">
        <f t="shared" si="26"/>
        <v>1</v>
      </c>
      <c r="M34" s="47">
        <f>'[1]ИПЦ-1 (+предложения) (нов ГЦКС'!P32</f>
        <v>0.41</v>
      </c>
      <c r="N34" s="113">
        <f t="shared" si="0"/>
        <v>1</v>
      </c>
      <c r="O34" s="45">
        <f>'[2]ПЗУ и АППЗ'!H40</f>
        <v>0.41</v>
      </c>
      <c r="P34" s="114">
        <f t="shared" si="11"/>
        <v>1</v>
      </c>
      <c r="Q34" s="49">
        <f t="shared" si="24"/>
        <v>0.41</v>
      </c>
      <c r="R34" s="115">
        <f t="shared" si="25"/>
        <v>1</v>
      </c>
      <c r="S34" s="47">
        <f t="shared" si="27"/>
        <v>0.65205913410770855</v>
      </c>
      <c r="T34" s="53">
        <f t="shared" si="28"/>
        <v>1</v>
      </c>
      <c r="U34" s="49">
        <f t="shared" si="4"/>
        <v>0.65205913410770855</v>
      </c>
      <c r="V34" s="113">
        <f t="shared" si="29"/>
        <v>1</v>
      </c>
      <c r="W34" s="51">
        <f t="shared" si="34"/>
        <v>0.41</v>
      </c>
      <c r="X34" s="54">
        <f t="shared" si="30"/>
        <v>1</v>
      </c>
      <c r="Y34" s="55">
        <f t="shared" si="31"/>
        <v>0</v>
      </c>
      <c r="Z34" s="56">
        <v>0.26</v>
      </c>
      <c r="AA34" s="52">
        <f t="shared" si="32"/>
        <v>0.63414634146341464</v>
      </c>
      <c r="AB34" s="45">
        <f>I34</f>
        <v>0.41</v>
      </c>
      <c r="AC34" s="50">
        <f t="shared" si="22"/>
        <v>1</v>
      </c>
      <c r="AD34" s="45">
        <v>0.41</v>
      </c>
      <c r="AE34" s="103">
        <f t="shared" si="21"/>
        <v>1</v>
      </c>
      <c r="AF34" s="45">
        <f>K34</f>
        <v>0.41</v>
      </c>
      <c r="AG34" s="50">
        <f t="shared" si="23"/>
        <v>1</v>
      </c>
    </row>
    <row r="35" spans="1:35" s="81" customFormat="1" ht="24" customHeight="1" x14ac:dyDescent="0.35">
      <c r="A35" s="31" t="s">
        <v>83</v>
      </c>
      <c r="B35" s="481" t="s">
        <v>84</v>
      </c>
      <c r="C35" s="482"/>
      <c r="D35" s="482"/>
      <c r="E35" s="482"/>
      <c r="F35" s="482"/>
      <c r="G35" s="483"/>
      <c r="H35" s="67" t="s">
        <v>34</v>
      </c>
      <c r="I35" s="382">
        <v>0.56000000000000005</v>
      </c>
      <c r="J35" s="383">
        <f>$H$9/$I$12*I35-0.02</f>
        <v>0.85695881731784596</v>
      </c>
      <c r="K35" s="118">
        <f t="shared" si="33"/>
        <v>0.56000000000000005</v>
      </c>
      <c r="L35" s="119">
        <f t="shared" si="26"/>
        <v>1</v>
      </c>
      <c r="M35" s="118">
        <v>0.67</v>
      </c>
      <c r="N35" s="119">
        <f t="shared" si="0"/>
        <v>1.1964285714285714</v>
      </c>
      <c r="O35" s="116">
        <f>[2]ВДГО!G19</f>
        <v>0.56000000000000005</v>
      </c>
      <c r="P35" s="123">
        <f t="shared" si="11"/>
        <v>1</v>
      </c>
      <c r="Q35" s="121">
        <f>[2]ВДГО!G19</f>
        <v>0.56000000000000005</v>
      </c>
      <c r="R35" s="124">
        <f t="shared" si="25"/>
        <v>1</v>
      </c>
      <c r="S35" s="118">
        <f t="shared" si="27"/>
        <v>0.85695881731784596</v>
      </c>
      <c r="T35" s="92">
        <f t="shared" si="28"/>
        <v>1</v>
      </c>
      <c r="U35" s="121">
        <f t="shared" si="4"/>
        <v>0.85695881731784596</v>
      </c>
      <c r="V35" s="119">
        <f t="shared" si="29"/>
        <v>1</v>
      </c>
      <c r="W35" s="38">
        <f>I35</f>
        <v>0.56000000000000005</v>
      </c>
      <c r="X35" s="77">
        <f t="shared" si="30"/>
        <v>1</v>
      </c>
      <c r="Y35" s="41">
        <f t="shared" si="31"/>
        <v>0</v>
      </c>
      <c r="Z35" s="42">
        <v>0.56000000000000005</v>
      </c>
      <c r="AA35" s="98">
        <f t="shared" si="32"/>
        <v>1</v>
      </c>
      <c r="AB35" s="116">
        <f>I35</f>
        <v>0.56000000000000005</v>
      </c>
      <c r="AC35" s="79">
        <f t="shared" si="22"/>
        <v>1</v>
      </c>
      <c r="AD35" s="116">
        <v>0.56000000000000005</v>
      </c>
      <c r="AE35" s="99">
        <f t="shared" si="21"/>
        <v>1</v>
      </c>
      <c r="AF35" s="116">
        <f>K35</f>
        <v>0.56000000000000005</v>
      </c>
      <c r="AG35" s="79">
        <f t="shared" si="23"/>
        <v>1</v>
      </c>
      <c r="AH35" s="80"/>
      <c r="AI35" s="80"/>
    </row>
    <row r="36" spans="1:35" ht="24" customHeight="1" x14ac:dyDescent="0.35">
      <c r="A36" s="43" t="s">
        <v>85</v>
      </c>
      <c r="B36" s="478" t="s">
        <v>86</v>
      </c>
      <c r="C36" s="479"/>
      <c r="D36" s="479"/>
      <c r="E36" s="479"/>
      <c r="F36" s="479"/>
      <c r="G36" s="480"/>
      <c r="H36" s="44" t="s">
        <v>34</v>
      </c>
      <c r="I36" s="382">
        <f>I37+I38+I39</f>
        <v>0.80999999999999994</v>
      </c>
      <c r="J36" s="383">
        <f>J37+J38+J39</f>
        <v>0.80999999999999994</v>
      </c>
      <c r="K36" s="47">
        <f t="shared" si="33"/>
        <v>0.80999999999999994</v>
      </c>
      <c r="L36" s="113">
        <f t="shared" si="26"/>
        <v>1</v>
      </c>
      <c r="M36" s="47">
        <f>I36</f>
        <v>0.80999999999999994</v>
      </c>
      <c r="N36" s="113">
        <f t="shared" si="0"/>
        <v>1</v>
      </c>
      <c r="O36" s="45">
        <f>O37+O38+O39+O40</f>
        <v>0.93</v>
      </c>
      <c r="P36" s="114">
        <f t="shared" si="11"/>
        <v>1.1481481481481484</v>
      </c>
      <c r="Q36" s="49">
        <f>Q37+Q38+Q39</f>
        <v>0.81</v>
      </c>
      <c r="R36" s="115">
        <f t="shared" si="25"/>
        <v>1.0000000000000002</v>
      </c>
      <c r="S36" s="47">
        <f t="shared" si="27"/>
        <v>0.80999999999999994</v>
      </c>
      <c r="T36" s="53">
        <f t="shared" si="28"/>
        <v>1</v>
      </c>
      <c r="U36" s="49">
        <f t="shared" si="4"/>
        <v>0.80999999999999994</v>
      </c>
      <c r="V36" s="113">
        <f t="shared" si="29"/>
        <v>1</v>
      </c>
      <c r="W36" s="51">
        <f t="shared" si="34"/>
        <v>0.59</v>
      </c>
      <c r="X36" s="54">
        <f t="shared" si="30"/>
        <v>0.72839506172839508</v>
      </c>
      <c r="Y36" s="55">
        <f t="shared" si="31"/>
        <v>-0.21999999999999997</v>
      </c>
      <c r="Z36" s="56">
        <f>Z37+Z38+Z39+Z40</f>
        <v>0.59000000000000008</v>
      </c>
      <c r="AA36" s="125">
        <f t="shared" si="32"/>
        <v>0.72839506172839519</v>
      </c>
      <c r="AB36" s="45">
        <f>ROUND(AB37+AB38+AB39,2)</f>
        <v>0.59</v>
      </c>
      <c r="AC36" s="50">
        <f t="shared" si="22"/>
        <v>0.72839506172839508</v>
      </c>
      <c r="AD36" s="45">
        <f>AD37+AD38+AD39</f>
        <v>0.81</v>
      </c>
      <c r="AE36" s="103">
        <f t="shared" si="21"/>
        <v>1.0000000000000002</v>
      </c>
      <c r="AF36" s="45">
        <f>ROUND(AF37+AF38+AF39,2)</f>
        <v>0.59</v>
      </c>
      <c r="AG36" s="50">
        <f t="shared" si="23"/>
        <v>0.72839506172839508</v>
      </c>
    </row>
    <row r="37" spans="1:35" s="81" customFormat="1" ht="22.5" customHeight="1" x14ac:dyDescent="0.35">
      <c r="A37" s="82" t="s">
        <v>87</v>
      </c>
      <c r="B37" s="466" t="s">
        <v>88</v>
      </c>
      <c r="C37" s="467"/>
      <c r="D37" s="467"/>
      <c r="E37" s="467"/>
      <c r="F37" s="467"/>
      <c r="G37" s="468"/>
      <c r="H37" s="83" t="s">
        <v>37</v>
      </c>
      <c r="I37" s="390">
        <v>0.61</v>
      </c>
      <c r="J37" s="391">
        <f>I37</f>
        <v>0.61</v>
      </c>
      <c r="K37" s="126"/>
      <c r="L37" s="127"/>
      <c r="M37" s="126"/>
      <c r="N37" s="127"/>
      <c r="O37" s="78">
        <f>'[2]Приборы учета'!F6</f>
        <v>0.56000000000000005</v>
      </c>
      <c r="P37" s="92">
        <f t="shared" si="11"/>
        <v>0.91803278688524603</v>
      </c>
      <c r="Q37" s="128">
        <f>O37</f>
        <v>0.56000000000000005</v>
      </c>
      <c r="R37" s="88">
        <f t="shared" si="25"/>
        <v>0.91803278688524603</v>
      </c>
      <c r="S37" s="126">
        <f t="shared" si="27"/>
        <v>0.61</v>
      </c>
      <c r="T37" s="92">
        <f t="shared" si="28"/>
        <v>1</v>
      </c>
      <c r="U37" s="128">
        <f t="shared" si="4"/>
        <v>0.61</v>
      </c>
      <c r="V37" s="127">
        <f t="shared" si="29"/>
        <v>1</v>
      </c>
      <c r="W37" s="93">
        <f t="shared" si="34"/>
        <v>0.48</v>
      </c>
      <c r="X37" s="77">
        <f t="shared" si="30"/>
        <v>0.78688524590163933</v>
      </c>
      <c r="Y37" s="94">
        <f t="shared" si="31"/>
        <v>-0.13</v>
      </c>
      <c r="Z37" s="76">
        <v>0.48</v>
      </c>
      <c r="AA37" s="98">
        <f t="shared" si="32"/>
        <v>0.78688524590163933</v>
      </c>
      <c r="AB37" s="78">
        <v>0.48</v>
      </c>
      <c r="AC37" s="79">
        <f t="shared" si="22"/>
        <v>0.78688524590163933</v>
      </c>
      <c r="AD37" s="78">
        <v>0.56000000000000005</v>
      </c>
      <c r="AE37" s="99"/>
      <c r="AF37" s="78">
        <v>0.48</v>
      </c>
      <c r="AG37" s="79">
        <f t="shared" si="23"/>
        <v>0.78688524590163933</v>
      </c>
      <c r="AH37" s="80"/>
      <c r="AI37" s="80"/>
    </row>
    <row r="38" spans="1:35" s="81" customFormat="1" ht="22.5" customHeight="1" x14ac:dyDescent="0.35">
      <c r="A38" s="82" t="s">
        <v>89</v>
      </c>
      <c r="B38" s="466" t="s">
        <v>90</v>
      </c>
      <c r="C38" s="467"/>
      <c r="D38" s="467"/>
      <c r="E38" s="467"/>
      <c r="F38" s="467"/>
      <c r="G38" s="468"/>
      <c r="H38" s="83" t="s">
        <v>37</v>
      </c>
      <c r="I38" s="390">
        <v>0.09</v>
      </c>
      <c r="J38" s="391">
        <f t="shared" ref="J38:J40" si="35">I38</f>
        <v>0.09</v>
      </c>
      <c r="K38" s="126"/>
      <c r="L38" s="127"/>
      <c r="M38" s="126"/>
      <c r="N38" s="127"/>
      <c r="O38" s="78">
        <f>'[2]Приборы учета'!F7</f>
        <v>0.1</v>
      </c>
      <c r="P38" s="92">
        <f t="shared" si="11"/>
        <v>1.1111111111111112</v>
      </c>
      <c r="Q38" s="128">
        <f t="shared" ref="Q38:Q39" si="36">O38</f>
        <v>0.1</v>
      </c>
      <c r="R38" s="88">
        <f t="shared" si="25"/>
        <v>1.1111111111111112</v>
      </c>
      <c r="S38" s="126">
        <f t="shared" si="27"/>
        <v>0.09</v>
      </c>
      <c r="T38" s="92">
        <f t="shared" si="28"/>
        <v>1</v>
      </c>
      <c r="U38" s="128">
        <f t="shared" si="4"/>
        <v>0.09</v>
      </c>
      <c r="V38" s="127">
        <f t="shared" si="29"/>
        <v>1</v>
      </c>
      <c r="W38" s="93">
        <f t="shared" si="34"/>
        <v>0.05</v>
      </c>
      <c r="X38" s="77">
        <f t="shared" si="30"/>
        <v>0.55555555555555558</v>
      </c>
      <c r="Y38" s="94">
        <f t="shared" si="31"/>
        <v>-3.9999999999999994E-2</v>
      </c>
      <c r="Z38" s="76">
        <v>0.05</v>
      </c>
      <c r="AA38" s="98">
        <f t="shared" si="32"/>
        <v>0.55555555555555558</v>
      </c>
      <c r="AB38" s="78">
        <f>ROUND(I38/2,2)</f>
        <v>0.05</v>
      </c>
      <c r="AC38" s="79">
        <f t="shared" si="22"/>
        <v>0.55555555555555558</v>
      </c>
      <c r="AD38" s="78">
        <v>0.1</v>
      </c>
      <c r="AE38" s="99"/>
      <c r="AF38" s="78">
        <f>AB38</f>
        <v>0.05</v>
      </c>
      <c r="AG38" s="79">
        <f t="shared" si="23"/>
        <v>0.55555555555555558</v>
      </c>
      <c r="AH38" s="80"/>
      <c r="AI38" s="80"/>
    </row>
    <row r="39" spans="1:35" s="81" customFormat="1" ht="22.5" customHeight="1" x14ac:dyDescent="0.35">
      <c r="A39" s="82" t="s">
        <v>91</v>
      </c>
      <c r="B39" s="466" t="s">
        <v>92</v>
      </c>
      <c r="C39" s="467"/>
      <c r="D39" s="467"/>
      <c r="E39" s="467"/>
      <c r="F39" s="467"/>
      <c r="G39" s="468"/>
      <c r="H39" s="83" t="s">
        <v>37</v>
      </c>
      <c r="I39" s="390">
        <v>0.11</v>
      </c>
      <c r="J39" s="391">
        <f t="shared" si="35"/>
        <v>0.11</v>
      </c>
      <c r="K39" s="126"/>
      <c r="L39" s="127"/>
      <c r="M39" s="126"/>
      <c r="N39" s="127"/>
      <c r="O39" s="78">
        <f>'[2]Приборы учета'!F8</f>
        <v>0.15</v>
      </c>
      <c r="P39" s="92">
        <f t="shared" si="11"/>
        <v>1.3636363636363635</v>
      </c>
      <c r="Q39" s="128">
        <f t="shared" si="36"/>
        <v>0.15</v>
      </c>
      <c r="R39" s="88">
        <f t="shared" si="25"/>
        <v>1.3636363636363635</v>
      </c>
      <c r="S39" s="126">
        <f t="shared" si="27"/>
        <v>0.11</v>
      </c>
      <c r="T39" s="92">
        <f t="shared" si="28"/>
        <v>1</v>
      </c>
      <c r="U39" s="128">
        <f t="shared" si="4"/>
        <v>0.11</v>
      </c>
      <c r="V39" s="127">
        <f t="shared" si="29"/>
        <v>1</v>
      </c>
      <c r="W39" s="93">
        <f t="shared" si="34"/>
        <v>0.06</v>
      </c>
      <c r="X39" s="77">
        <f t="shared" si="30"/>
        <v>0.54545454545454541</v>
      </c>
      <c r="Y39" s="94">
        <f t="shared" si="31"/>
        <v>-0.05</v>
      </c>
      <c r="Z39" s="76">
        <v>0.06</v>
      </c>
      <c r="AA39" s="98">
        <f t="shared" si="32"/>
        <v>0.54545454545454541</v>
      </c>
      <c r="AB39" s="78">
        <f>ROUND(I39/2,2)</f>
        <v>0.06</v>
      </c>
      <c r="AC39" s="79">
        <f t="shared" si="22"/>
        <v>0.54545454545454541</v>
      </c>
      <c r="AD39" s="78">
        <v>0.15</v>
      </c>
      <c r="AE39" s="99"/>
      <c r="AF39" s="78">
        <f>AB39</f>
        <v>0.06</v>
      </c>
      <c r="AG39" s="79">
        <f t="shared" si="23"/>
        <v>0.54545454545454541</v>
      </c>
      <c r="AH39" s="80"/>
      <c r="AI39" s="80"/>
    </row>
    <row r="40" spans="1:35" s="130" customFormat="1" ht="22.5" customHeight="1" thickBot="1" x14ac:dyDescent="0.4">
      <c r="A40" s="82" t="s">
        <v>93</v>
      </c>
      <c r="B40" s="466" t="s">
        <v>94</v>
      </c>
      <c r="C40" s="467"/>
      <c r="D40" s="467"/>
      <c r="E40" s="467"/>
      <c r="F40" s="467"/>
      <c r="G40" s="468"/>
      <c r="H40" s="83" t="s">
        <v>37</v>
      </c>
      <c r="I40" s="390">
        <v>0.12</v>
      </c>
      <c r="J40" s="391">
        <f t="shared" si="35"/>
        <v>0.12</v>
      </c>
      <c r="K40" s="129"/>
      <c r="L40" s="127"/>
      <c r="M40" s="129"/>
      <c r="N40" s="127"/>
      <c r="O40" s="78">
        <f>'[2]Приборы учета'!F9</f>
        <v>0.12</v>
      </c>
      <c r="P40" s="92">
        <f t="shared" si="11"/>
        <v>1</v>
      </c>
      <c r="Q40" s="128">
        <f>O40</f>
        <v>0.12</v>
      </c>
      <c r="R40" s="88">
        <f t="shared" si="25"/>
        <v>1</v>
      </c>
      <c r="S40" s="129">
        <f t="shared" si="27"/>
        <v>0.12</v>
      </c>
      <c r="T40" s="92">
        <f t="shared" si="28"/>
        <v>1</v>
      </c>
      <c r="U40" s="128">
        <f t="shared" si="4"/>
        <v>0.12</v>
      </c>
      <c r="V40" s="127">
        <f t="shared" si="29"/>
        <v>1</v>
      </c>
      <c r="W40" s="93">
        <f t="shared" si="34"/>
        <v>0</v>
      </c>
      <c r="X40" s="77">
        <f t="shared" si="30"/>
        <v>0</v>
      </c>
      <c r="Y40" s="94">
        <f t="shared" si="31"/>
        <v>-0.12</v>
      </c>
      <c r="Z40" s="76">
        <v>0</v>
      </c>
      <c r="AA40" s="98">
        <f t="shared" si="32"/>
        <v>0</v>
      </c>
      <c r="AB40" s="78">
        <v>0</v>
      </c>
      <c r="AC40" s="79">
        <f t="shared" si="22"/>
        <v>0</v>
      </c>
      <c r="AD40" s="78">
        <v>0.12</v>
      </c>
      <c r="AE40" s="99"/>
      <c r="AF40" s="78">
        <v>0</v>
      </c>
      <c r="AG40" s="79">
        <f t="shared" si="23"/>
        <v>0</v>
      </c>
      <c r="AH40" s="80"/>
      <c r="AI40" s="80"/>
    </row>
    <row r="41" spans="1:35" s="81" customFormat="1" ht="38.25" hidden="1" customHeight="1" thickBot="1" x14ac:dyDescent="0.4">
      <c r="A41" s="131" t="s">
        <v>95</v>
      </c>
      <c r="B41" s="472" t="s">
        <v>96</v>
      </c>
      <c r="C41" s="473"/>
      <c r="D41" s="473"/>
      <c r="E41" s="473"/>
      <c r="F41" s="473"/>
      <c r="G41" s="474"/>
      <c r="H41" s="132" t="s">
        <v>34</v>
      </c>
      <c r="I41" s="392"/>
      <c r="J41" s="393"/>
      <c r="K41" s="134"/>
      <c r="L41" s="135"/>
      <c r="M41" s="140">
        <v>0.43</v>
      </c>
      <c r="N41" s="135"/>
      <c r="O41" s="141"/>
      <c r="P41" s="142"/>
      <c r="Q41" s="143">
        <f>'[2]ГО и ЧС'!G29</f>
        <v>0.13</v>
      </c>
      <c r="R41" s="136"/>
      <c r="S41" s="140"/>
      <c r="T41" s="144"/>
      <c r="U41" s="145">
        <f>Q41*1.29</f>
        <v>0.16770000000000002</v>
      </c>
      <c r="V41" s="135"/>
      <c r="W41" s="146"/>
      <c r="X41" s="147"/>
      <c r="Y41" s="148"/>
      <c r="Z41" s="149"/>
      <c r="AA41" s="139"/>
      <c r="AB41" s="133">
        <v>7.0000000000000007E-2</v>
      </c>
      <c r="AC41" s="137"/>
      <c r="AD41" s="133">
        <v>0.13</v>
      </c>
      <c r="AE41" s="138"/>
      <c r="AF41" s="133">
        <v>7.0000000000000007E-2</v>
      </c>
      <c r="AG41" s="137"/>
      <c r="AH41" s="80"/>
      <c r="AI41" s="80"/>
    </row>
    <row r="42" spans="1:35" ht="31.5" customHeight="1" thickBot="1" x14ac:dyDescent="0.4">
      <c r="A42" s="150"/>
      <c r="B42" s="475" t="s">
        <v>97</v>
      </c>
      <c r="C42" s="476"/>
      <c r="D42" s="476"/>
      <c r="E42" s="476"/>
      <c r="F42" s="476"/>
      <c r="G42" s="477"/>
      <c r="H42" s="151" t="s">
        <v>98</v>
      </c>
      <c r="I42" s="394">
        <f>I10+I12+I30+I31+I32+I33+I34+I35+I36+I41+I40</f>
        <v>20.54</v>
      </c>
      <c r="J42" s="395">
        <f>J10+J12+J30+J31+J32+J33+J34+J35+J36+J41</f>
        <v>31.501341077085538</v>
      </c>
      <c r="K42" s="154">
        <f>K10+K12+K30+K31+K32+K33+K34+K35+K36+K41</f>
        <v>21.529999999999998</v>
      </c>
      <c r="L42" s="155">
        <f t="shared" ref="L42:L50" si="37">K42/I42</f>
        <v>1.0481986368062317</v>
      </c>
      <c r="M42" s="154">
        <f>M10+M12+M30+M31+M32+M33+M34+M35+M36+M41</f>
        <v>31.815000000000005</v>
      </c>
      <c r="N42" s="155">
        <f>M42/$I42</f>
        <v>1.5489289191820841</v>
      </c>
      <c r="O42" s="152">
        <f>O10+O12+O30+O31+O32+O33+O34+O35+O36+O41</f>
        <v>21.898199999999999</v>
      </c>
      <c r="P42" s="160">
        <f>O42/$I42</f>
        <v>1.066124634858812</v>
      </c>
      <c r="Q42" s="156">
        <f>Q10+Q12+Q30+Q31+Q32+Q33+Q34+Q35+Q36+Q41+Q40</f>
        <v>22.028199999999998</v>
      </c>
      <c r="R42" s="157">
        <f>Q42/$I42</f>
        <v>1.0724537487828627</v>
      </c>
      <c r="S42" s="154">
        <f>S10+S12+S30+S31+S32+S33+S34+S35+S36+S41</f>
        <v>32.29004107708554</v>
      </c>
      <c r="T42" s="160">
        <f>S42/J42</f>
        <v>1.0250370293147206</v>
      </c>
      <c r="U42" s="156">
        <f>U10+U12+U30+U31+U32+U33+U34+U35+U36+U41</f>
        <v>32.457741077085544</v>
      </c>
      <c r="V42" s="155">
        <f>U42/J42</f>
        <v>1.0303606121929743</v>
      </c>
      <c r="W42" s="161">
        <f>W12+W10+W30+W31+W32+W33+W34+W35+W36</f>
        <v>20.54</v>
      </c>
      <c r="X42" s="158">
        <f>W42/I42</f>
        <v>1</v>
      </c>
      <c r="Y42" s="153">
        <f>W42-I42</f>
        <v>0</v>
      </c>
      <c r="Z42" s="154">
        <f>Z10+Z12+Z30+Z31+Z32+Z33+Z34+Z35+Z36+Z41</f>
        <v>20.54</v>
      </c>
      <c r="AA42" s="159">
        <f t="shared" ref="AA42:AA50" si="38">Z42/$I42</f>
        <v>1</v>
      </c>
      <c r="AB42" s="162">
        <f>ROUND(AB10+AB12+AB30+AB31+AB32+AB33+AB34+AB35+AB36+AB41+AB40,2)</f>
        <v>21.5</v>
      </c>
      <c r="AC42" s="163">
        <f>AB42/$I42</f>
        <v>1.0467380720545278</v>
      </c>
      <c r="AD42" s="152">
        <f>AD10+AD12+AD30+AD31+AD32+AD33+AD34+AD35+AD36+AD41+AD40</f>
        <v>22.028199999999998</v>
      </c>
      <c r="AE42" s="164">
        <f t="shared" ref="AE42:AE50" si="39">AD42/$I42</f>
        <v>1.0724537487828627</v>
      </c>
      <c r="AF42" s="152">
        <f>ROUND(AF10++AF11+AF12+AF30+AF31+AF32+AF33+AF34+AF35+AF36+AF41+AF40,2)</f>
        <v>22.5</v>
      </c>
      <c r="AG42" s="165">
        <f>AF42/$I42</f>
        <v>1.0954235637779941</v>
      </c>
    </row>
    <row r="43" spans="1:35" s="81" customFormat="1" ht="24.6" x14ac:dyDescent="0.35">
      <c r="A43" s="22" t="s">
        <v>99</v>
      </c>
      <c r="B43" s="463" t="s">
        <v>139</v>
      </c>
      <c r="C43" s="464"/>
      <c r="D43" s="464"/>
      <c r="E43" s="464"/>
      <c r="F43" s="464"/>
      <c r="G43" s="465"/>
      <c r="H43" s="166" t="s">
        <v>34</v>
      </c>
      <c r="I43" s="396">
        <v>2.4300000000000002</v>
      </c>
      <c r="J43" s="397">
        <f>$H$9/$I$12*I43</f>
        <v>3.8053748680042245</v>
      </c>
      <c r="K43" s="168">
        <f>I43*1.0648</f>
        <v>2.5874640000000002</v>
      </c>
      <c r="L43" s="169">
        <f t="shared" si="37"/>
        <v>1.0648</v>
      </c>
      <c r="M43" s="168">
        <f>'[1]ИПЦ-1 (+предложения)'!$V$41</f>
        <v>4.733039999999999</v>
      </c>
      <c r="N43" s="169">
        <f>M43/$I43</f>
        <v>1.9477530864197525</v>
      </c>
      <c r="O43" s="167">
        <f>O47/1620.38</f>
        <v>2.5318258680062695</v>
      </c>
      <c r="P43" s="172">
        <f>O43/$I43</f>
        <v>1.041903649385296</v>
      </c>
      <c r="Q43" s="170">
        <f>O43</f>
        <v>2.5318258680062695</v>
      </c>
      <c r="R43" s="171">
        <f>Q43/$I43</f>
        <v>1.041903649385296</v>
      </c>
      <c r="S43" s="168">
        <f>J43</f>
        <v>3.8053748680042245</v>
      </c>
      <c r="T43" s="172">
        <f>S43/J43</f>
        <v>1</v>
      </c>
      <c r="U43" s="170">
        <f t="shared" si="4"/>
        <v>3.8053748680042245</v>
      </c>
      <c r="V43" s="169">
        <f>U43/J43</f>
        <v>1</v>
      </c>
      <c r="W43" s="173">
        <f>W44+W45+W46+W52</f>
        <v>2.4299999999999997</v>
      </c>
      <c r="X43" s="174">
        <f>W43/I43</f>
        <v>0.99999999999999978</v>
      </c>
      <c r="Y43" s="175">
        <f>W43-I43</f>
        <v>0</v>
      </c>
      <c r="Z43" s="168">
        <f>I43</f>
        <v>2.4300000000000002</v>
      </c>
      <c r="AA43" s="176">
        <f t="shared" si="38"/>
        <v>1</v>
      </c>
      <c r="AB43" s="167">
        <f>Z43</f>
        <v>2.4300000000000002</v>
      </c>
      <c r="AC43" s="171">
        <f>AB43/$I43</f>
        <v>1</v>
      </c>
      <c r="AD43" s="167">
        <v>2.5318258680062695</v>
      </c>
      <c r="AE43" s="171">
        <f t="shared" si="39"/>
        <v>1.041903649385296</v>
      </c>
      <c r="AF43" s="167">
        <f>AB43</f>
        <v>2.4300000000000002</v>
      </c>
      <c r="AG43" s="171">
        <f>AF43/$I43</f>
        <v>1</v>
      </c>
      <c r="AH43" s="80"/>
      <c r="AI43" s="80"/>
    </row>
    <row r="44" spans="1:35" s="81" customFormat="1" ht="21.75" customHeight="1" x14ac:dyDescent="0.35">
      <c r="A44" s="415" t="s">
        <v>140</v>
      </c>
      <c r="B44" s="466" t="s">
        <v>148</v>
      </c>
      <c r="C44" s="467"/>
      <c r="D44" s="467"/>
      <c r="E44" s="467"/>
      <c r="F44" s="411"/>
      <c r="G44" s="412"/>
      <c r="H44" s="166" t="s">
        <v>34</v>
      </c>
      <c r="I44" s="396"/>
      <c r="J44" s="397"/>
      <c r="K44" s="168"/>
      <c r="L44" s="169"/>
      <c r="M44" s="168"/>
      <c r="N44" s="169"/>
      <c r="O44" s="167"/>
      <c r="P44" s="172"/>
      <c r="Q44" s="170"/>
      <c r="R44" s="171"/>
      <c r="S44" s="168"/>
      <c r="T44" s="172"/>
      <c r="U44" s="170"/>
      <c r="V44" s="169"/>
      <c r="W44" s="173">
        <v>1.03</v>
      </c>
      <c r="X44" s="174"/>
      <c r="Y44" s="175"/>
      <c r="Z44" s="168"/>
      <c r="AA44" s="176"/>
      <c r="AB44" s="167"/>
      <c r="AC44" s="171"/>
      <c r="AD44" s="167"/>
      <c r="AE44" s="171"/>
      <c r="AF44" s="167"/>
      <c r="AG44" s="171"/>
      <c r="AH44" s="80"/>
      <c r="AI44" s="80"/>
    </row>
    <row r="45" spans="1:35" s="81" customFormat="1" ht="21.75" customHeight="1" x14ac:dyDescent="0.35">
      <c r="A45" s="415" t="s">
        <v>141</v>
      </c>
      <c r="B45" s="466" t="s">
        <v>137</v>
      </c>
      <c r="C45" s="467"/>
      <c r="D45" s="467"/>
      <c r="E45" s="467"/>
      <c r="F45" s="411"/>
      <c r="G45" s="412"/>
      <c r="H45" s="166" t="s">
        <v>34</v>
      </c>
      <c r="I45" s="396"/>
      <c r="J45" s="397"/>
      <c r="K45" s="168"/>
      <c r="L45" s="169"/>
      <c r="M45" s="168"/>
      <c r="N45" s="169"/>
      <c r="O45" s="167"/>
      <c r="P45" s="172"/>
      <c r="Q45" s="170"/>
      <c r="R45" s="171"/>
      <c r="S45" s="168"/>
      <c r="T45" s="172"/>
      <c r="U45" s="170"/>
      <c r="V45" s="169"/>
      <c r="W45" s="173">
        <v>1.1499999999999999</v>
      </c>
      <c r="X45" s="174"/>
      <c r="Y45" s="175"/>
      <c r="Z45" s="168"/>
      <c r="AA45" s="176"/>
      <c r="AB45" s="167"/>
      <c r="AC45" s="171"/>
      <c r="AD45" s="167"/>
      <c r="AE45" s="171"/>
      <c r="AF45" s="167"/>
      <c r="AG45" s="171"/>
      <c r="AH45" s="80"/>
      <c r="AI45" s="80"/>
    </row>
    <row r="46" spans="1:35" s="81" customFormat="1" ht="21.75" customHeight="1" x14ac:dyDescent="0.35">
      <c r="A46" s="415" t="s">
        <v>142</v>
      </c>
      <c r="B46" s="466" t="s">
        <v>149</v>
      </c>
      <c r="C46" s="467"/>
      <c r="D46" s="467"/>
      <c r="E46" s="467"/>
      <c r="F46" s="411"/>
      <c r="G46" s="412"/>
      <c r="H46" s="166" t="s">
        <v>34</v>
      </c>
      <c r="I46" s="396"/>
      <c r="J46" s="397"/>
      <c r="K46" s="168"/>
      <c r="L46" s="169"/>
      <c r="M46" s="168"/>
      <c r="N46" s="169"/>
      <c r="O46" s="167"/>
      <c r="P46" s="172"/>
      <c r="Q46" s="170"/>
      <c r="R46" s="171"/>
      <c r="S46" s="168"/>
      <c r="T46" s="172"/>
      <c r="U46" s="170"/>
      <c r="V46" s="169"/>
      <c r="W46" s="173">
        <v>0.19</v>
      </c>
      <c r="X46" s="174"/>
      <c r="Y46" s="175"/>
      <c r="Z46" s="168"/>
      <c r="AA46" s="176"/>
      <c r="AB46" s="167"/>
      <c r="AC46" s="171"/>
      <c r="AD46" s="167"/>
      <c r="AE46" s="171"/>
      <c r="AF46" s="167"/>
      <c r="AG46" s="171"/>
      <c r="AH46" s="80"/>
      <c r="AI46" s="80"/>
    </row>
    <row r="47" spans="1:35" s="81" customFormat="1" ht="41.25" hidden="1" customHeight="1" x14ac:dyDescent="0.35">
      <c r="A47" s="415" t="s">
        <v>143</v>
      </c>
      <c r="B47" s="466" t="s">
        <v>100</v>
      </c>
      <c r="C47" s="467"/>
      <c r="D47" s="467"/>
      <c r="E47" s="467"/>
      <c r="F47" s="467"/>
      <c r="G47" s="468"/>
      <c r="H47" s="166" t="s">
        <v>34</v>
      </c>
      <c r="I47" s="388">
        <f>I48+I49+I50</f>
        <v>3932.99</v>
      </c>
      <c r="J47" s="389">
        <f>$H$9/$I$12*I47</f>
        <v>6159.0540337909188</v>
      </c>
      <c r="K47" s="85">
        <v>4187.8099999999995</v>
      </c>
      <c r="L47" s="86">
        <f t="shared" si="37"/>
        <v>1.0647904011960365</v>
      </c>
      <c r="M47" s="85">
        <v>7671.473203333333</v>
      </c>
      <c r="N47" s="127">
        <f t="shared" ref="N47:N50" si="40">M47/$I47</f>
        <v>1.9505448026395524</v>
      </c>
      <c r="O47" s="84">
        <f>O48+O49+O50</f>
        <v>4102.5199999999995</v>
      </c>
      <c r="P47" s="91">
        <f>O47/$I47</f>
        <v>1.0431046099786676</v>
      </c>
      <c r="Q47" s="87">
        <f>O47</f>
        <v>4102.5199999999995</v>
      </c>
      <c r="R47" s="112">
        <f>Q47/$I47</f>
        <v>1.0431046099786676</v>
      </c>
      <c r="S47" s="85">
        <f>J47</f>
        <v>6159.0540337909188</v>
      </c>
      <c r="T47" s="92">
        <f>S47/J47</f>
        <v>1</v>
      </c>
      <c r="U47" s="87">
        <f t="shared" si="4"/>
        <v>6159.0540337909188</v>
      </c>
      <c r="V47" s="127">
        <f>U47/J47</f>
        <v>1</v>
      </c>
      <c r="W47" s="93">
        <f t="shared" si="34"/>
        <v>0</v>
      </c>
      <c r="X47" s="178"/>
      <c r="Y47" s="94">
        <f>W47-I47</f>
        <v>-3932.99</v>
      </c>
      <c r="Z47" s="85">
        <v>4187.8099999999995</v>
      </c>
      <c r="AA47" s="179">
        <f t="shared" si="38"/>
        <v>1.0647904011960365</v>
      </c>
      <c r="AB47" s="180"/>
      <c r="AC47" s="112"/>
      <c r="AD47" s="84">
        <v>4102.5199999999995</v>
      </c>
      <c r="AE47" s="177">
        <f t="shared" si="39"/>
        <v>1.0431046099786676</v>
      </c>
      <c r="AF47" s="180"/>
      <c r="AG47" s="112"/>
      <c r="AH47" s="80"/>
      <c r="AI47" s="80"/>
    </row>
    <row r="48" spans="1:35" s="81" customFormat="1" ht="37.5" hidden="1" customHeight="1" x14ac:dyDescent="0.35">
      <c r="A48" s="415" t="s">
        <v>144</v>
      </c>
      <c r="B48" s="466" t="s">
        <v>101</v>
      </c>
      <c r="C48" s="467"/>
      <c r="D48" s="467"/>
      <c r="E48" s="467"/>
      <c r="F48" s="467"/>
      <c r="G48" s="468"/>
      <c r="H48" s="166" t="s">
        <v>34</v>
      </c>
      <c r="I48" s="388">
        <v>3512.52</v>
      </c>
      <c r="J48" s="389">
        <f>$H$9/$I$12*I48</f>
        <v>5500.5989017951433</v>
      </c>
      <c r="K48" s="85">
        <v>3716.25</v>
      </c>
      <c r="L48" s="86">
        <f t="shared" si="37"/>
        <v>1.0580010932322093</v>
      </c>
      <c r="M48" s="85">
        <v>3698.6835599999999</v>
      </c>
      <c r="N48" s="127">
        <f t="shared" si="40"/>
        <v>1.0529999999999999</v>
      </c>
      <c r="O48" s="84">
        <f>[2]ЛИфты!K22</f>
        <v>3139.12</v>
      </c>
      <c r="P48" s="91">
        <f t="shared" ref="P48:R50" si="41">O48/$I48</f>
        <v>0.89369455547584065</v>
      </c>
      <c r="Q48" s="87">
        <f t="shared" ref="Q48:Q50" si="42">O48</f>
        <v>3139.12</v>
      </c>
      <c r="R48" s="112">
        <f t="shared" si="41"/>
        <v>0.89369455547584065</v>
      </c>
      <c r="S48" s="85">
        <f>J48</f>
        <v>5500.5989017951433</v>
      </c>
      <c r="T48" s="92">
        <f>S48/J48</f>
        <v>1</v>
      </c>
      <c r="U48" s="87">
        <f t="shared" si="4"/>
        <v>5500.5989017951433</v>
      </c>
      <c r="V48" s="127">
        <f>U48/J48</f>
        <v>1</v>
      </c>
      <c r="W48" s="93">
        <f t="shared" si="34"/>
        <v>0</v>
      </c>
      <c r="X48" s="178"/>
      <c r="Y48" s="94">
        <f>W48-I48</f>
        <v>-3512.52</v>
      </c>
      <c r="Z48" s="85">
        <v>3716.25</v>
      </c>
      <c r="AA48" s="179">
        <f t="shared" si="38"/>
        <v>1.0580010932322093</v>
      </c>
      <c r="AB48" s="180"/>
      <c r="AC48" s="112"/>
      <c r="AD48" s="84">
        <v>3139.12</v>
      </c>
      <c r="AE48" s="177">
        <f t="shared" si="39"/>
        <v>0.89369455547584065</v>
      </c>
      <c r="AF48" s="180"/>
      <c r="AG48" s="112"/>
      <c r="AH48" s="80"/>
      <c r="AI48" s="80"/>
    </row>
    <row r="49" spans="1:35" s="81" customFormat="1" ht="37.5" hidden="1" customHeight="1" x14ac:dyDescent="0.35">
      <c r="A49" s="415" t="s">
        <v>145</v>
      </c>
      <c r="B49" s="466" t="s">
        <v>102</v>
      </c>
      <c r="C49" s="467"/>
      <c r="D49" s="467"/>
      <c r="E49" s="467"/>
      <c r="F49" s="467"/>
      <c r="G49" s="468"/>
      <c r="H49" s="166" t="s">
        <v>34</v>
      </c>
      <c r="I49" s="388">
        <v>306.77</v>
      </c>
      <c r="J49" s="389">
        <f>$H$9/$I$12*I49</f>
        <v>480.40117212249208</v>
      </c>
      <c r="K49" s="85">
        <v>324.56</v>
      </c>
      <c r="L49" s="86">
        <f t="shared" si="37"/>
        <v>1.0579913290087037</v>
      </c>
      <c r="M49" s="85">
        <v>323.02880999999996</v>
      </c>
      <c r="N49" s="127">
        <f t="shared" si="40"/>
        <v>1.0529999999999999</v>
      </c>
      <c r="O49" s="84">
        <f>[2]ЛИфты!K25</f>
        <v>308.77999999999997</v>
      </c>
      <c r="P49" s="91">
        <f t="shared" si="41"/>
        <v>1.0065521400397692</v>
      </c>
      <c r="Q49" s="87">
        <v>308.77999999999997</v>
      </c>
      <c r="R49" s="112">
        <f t="shared" si="41"/>
        <v>1.0065521400397692</v>
      </c>
      <c r="S49" s="85">
        <f>J49</f>
        <v>480.40117212249208</v>
      </c>
      <c r="T49" s="92">
        <f>S49/J49</f>
        <v>1</v>
      </c>
      <c r="U49" s="87">
        <f t="shared" si="4"/>
        <v>480.40117212249208</v>
      </c>
      <c r="V49" s="127">
        <f>U49/J49</f>
        <v>1</v>
      </c>
      <c r="W49" s="93">
        <f t="shared" si="34"/>
        <v>0</v>
      </c>
      <c r="X49" s="178"/>
      <c r="Y49" s="94">
        <f>W49-I49</f>
        <v>-306.77</v>
      </c>
      <c r="Z49" s="85">
        <v>324.56</v>
      </c>
      <c r="AA49" s="179">
        <f t="shared" si="38"/>
        <v>1.0579913290087037</v>
      </c>
      <c r="AB49" s="180"/>
      <c r="AC49" s="112"/>
      <c r="AD49" s="84">
        <v>308.77999999999997</v>
      </c>
      <c r="AE49" s="177">
        <f t="shared" si="39"/>
        <v>1.0065521400397692</v>
      </c>
      <c r="AF49" s="180"/>
      <c r="AG49" s="112"/>
      <c r="AH49" s="80"/>
      <c r="AI49" s="80"/>
    </row>
    <row r="50" spans="1:35" s="81" customFormat="1" ht="37.5" hidden="1" customHeight="1" x14ac:dyDescent="0.35">
      <c r="A50" s="415" t="s">
        <v>146</v>
      </c>
      <c r="B50" s="466" t="s">
        <v>103</v>
      </c>
      <c r="C50" s="467"/>
      <c r="D50" s="467"/>
      <c r="E50" s="467"/>
      <c r="F50" s="467"/>
      <c r="G50" s="468"/>
      <c r="H50" s="166" t="s">
        <v>34</v>
      </c>
      <c r="I50" s="388">
        <v>113.7</v>
      </c>
      <c r="J50" s="389">
        <f>$H$9/$I$12*I50</f>
        <v>178.05395987328407</v>
      </c>
      <c r="K50" s="85">
        <v>147</v>
      </c>
      <c r="L50" s="86">
        <f t="shared" si="37"/>
        <v>1.2928759894459103</v>
      </c>
      <c r="M50" s="85">
        <v>3649.7608333333333</v>
      </c>
      <c r="N50" s="127">
        <f t="shared" si="40"/>
        <v>32.099919378481381</v>
      </c>
      <c r="O50" s="84">
        <f>[2]ЛИфты!K26</f>
        <v>654.62</v>
      </c>
      <c r="P50" s="91">
        <f t="shared" si="41"/>
        <v>5.757431838170624</v>
      </c>
      <c r="Q50" s="87">
        <f t="shared" si="42"/>
        <v>654.62</v>
      </c>
      <c r="R50" s="112">
        <f t="shared" si="41"/>
        <v>5.757431838170624</v>
      </c>
      <c r="S50" s="85">
        <f>J50</f>
        <v>178.05395987328407</v>
      </c>
      <c r="T50" s="92">
        <f>S50/J50</f>
        <v>1</v>
      </c>
      <c r="U50" s="87">
        <f t="shared" si="4"/>
        <v>178.05395987328407</v>
      </c>
      <c r="V50" s="127">
        <f>U50/J50</f>
        <v>1</v>
      </c>
      <c r="W50" s="93">
        <f t="shared" si="34"/>
        <v>0</v>
      </c>
      <c r="X50" s="178"/>
      <c r="Y50" s="94">
        <f>W50-I50</f>
        <v>-113.7</v>
      </c>
      <c r="Z50" s="85">
        <v>147</v>
      </c>
      <c r="AA50" s="179">
        <f t="shared" si="38"/>
        <v>1.2928759894459103</v>
      </c>
      <c r="AB50" s="180"/>
      <c r="AC50" s="112"/>
      <c r="AD50" s="84">
        <v>654.62</v>
      </c>
      <c r="AE50" s="177">
        <f t="shared" si="39"/>
        <v>5.757431838170624</v>
      </c>
      <c r="AF50" s="180"/>
      <c r="AG50" s="112"/>
      <c r="AH50" s="80"/>
      <c r="AI50" s="80"/>
    </row>
    <row r="51" spans="1:35" s="191" customFormat="1" ht="24.6" hidden="1" x14ac:dyDescent="0.35">
      <c r="A51" s="415" t="s">
        <v>147</v>
      </c>
      <c r="H51" s="166" t="s">
        <v>34</v>
      </c>
      <c r="I51" s="392"/>
      <c r="J51" s="393"/>
      <c r="K51" s="181"/>
      <c r="L51" s="182"/>
      <c r="M51" s="181"/>
      <c r="N51" s="182"/>
      <c r="O51" s="183"/>
      <c r="P51" s="185"/>
      <c r="Q51" s="143">
        <f>[2]ЛИфты!F42</f>
        <v>0.06</v>
      </c>
      <c r="R51" s="184"/>
      <c r="S51" s="181"/>
      <c r="T51" s="185"/>
      <c r="U51" s="143">
        <f>Q51*1.44</f>
        <v>8.6399999999999991E-2</v>
      </c>
      <c r="V51" s="182"/>
      <c r="W51" s="146"/>
      <c r="X51" s="147"/>
      <c r="Y51" s="148"/>
      <c r="Z51" s="181"/>
      <c r="AA51" s="186"/>
      <c r="AB51" s="187">
        <v>0.06</v>
      </c>
      <c r="AC51" s="188"/>
      <c r="AD51" s="187">
        <v>0.06</v>
      </c>
      <c r="AE51" s="189"/>
      <c r="AF51" s="187">
        <v>0.06</v>
      </c>
      <c r="AG51" s="188"/>
      <c r="AH51" s="190"/>
      <c r="AI51" s="190"/>
    </row>
    <row r="52" spans="1:35" s="191" customFormat="1" ht="25.2" thickBot="1" x14ac:dyDescent="0.4">
      <c r="A52" s="415" t="s">
        <v>143</v>
      </c>
      <c r="B52" s="469" t="s">
        <v>104</v>
      </c>
      <c r="C52" s="470"/>
      <c r="D52" s="470"/>
      <c r="E52" s="470"/>
      <c r="F52" s="470"/>
      <c r="G52" s="471"/>
      <c r="H52" s="166" t="s">
        <v>34</v>
      </c>
      <c r="I52" s="416"/>
      <c r="J52" s="417"/>
      <c r="K52" s="418"/>
      <c r="L52" s="419"/>
      <c r="M52" s="418"/>
      <c r="N52" s="419"/>
      <c r="O52" s="420"/>
      <c r="P52" s="421"/>
      <c r="Q52" s="422"/>
      <c r="R52" s="188"/>
      <c r="S52" s="418"/>
      <c r="T52" s="421"/>
      <c r="U52" s="422"/>
      <c r="V52" s="419"/>
      <c r="W52" s="423">
        <v>0.06</v>
      </c>
      <c r="X52" s="424"/>
      <c r="Y52" s="425"/>
      <c r="Z52" s="418"/>
      <c r="AA52" s="186"/>
      <c r="AB52" s="426"/>
      <c r="AC52" s="188"/>
      <c r="AD52" s="426"/>
      <c r="AE52" s="427"/>
      <c r="AF52" s="426"/>
      <c r="AG52" s="188"/>
      <c r="AH52" s="190"/>
      <c r="AI52" s="190"/>
    </row>
    <row r="53" spans="1:35" ht="27" customHeight="1" thickBot="1" x14ac:dyDescent="0.4">
      <c r="A53" s="192"/>
      <c r="B53" s="451" t="s">
        <v>105</v>
      </c>
      <c r="C53" s="452"/>
      <c r="D53" s="452"/>
      <c r="E53" s="452"/>
      <c r="F53" s="452"/>
      <c r="G53" s="453"/>
      <c r="H53" s="193" t="s">
        <v>37</v>
      </c>
      <c r="I53" s="394">
        <f>I42+I43</f>
        <v>22.97</v>
      </c>
      <c r="J53" s="395">
        <f>J42+J43</f>
        <v>35.306715945089763</v>
      </c>
      <c r="K53" s="196">
        <f>K42+K43</f>
        <v>24.117463999999998</v>
      </c>
      <c r="L53" s="197">
        <f t="shared" ref="L53:L58" si="43">K53/I53</f>
        <v>1.0499548976926425</v>
      </c>
      <c r="M53" s="196">
        <f>M42+M43</f>
        <v>36.54804</v>
      </c>
      <c r="N53" s="197">
        <f t="shared" ref="N53:N54" si="44">M53/$I53</f>
        <v>1.5911205920766218</v>
      </c>
      <c r="O53" s="194">
        <f>O42+O43+O51</f>
        <v>24.430025868006268</v>
      </c>
      <c r="P53" s="202">
        <f t="shared" si="11"/>
        <v>1.0635622929040605</v>
      </c>
      <c r="Q53" s="198">
        <f>Q42+Q43+Q51</f>
        <v>24.620025868006266</v>
      </c>
      <c r="R53" s="199">
        <f t="shared" ref="R53" si="45">Q53/$I53</f>
        <v>1.0718339515893021</v>
      </c>
      <c r="S53" s="196">
        <f>S42+S43+S51</f>
        <v>36.095415945089762</v>
      </c>
      <c r="T53" s="202">
        <f t="shared" ref="T53:T58" si="46">S53/J53</f>
        <v>1.0223385262233569</v>
      </c>
      <c r="U53" s="198">
        <f>U42+U43+U51</f>
        <v>36.349515945089763</v>
      </c>
      <c r="V53" s="197">
        <f t="shared" ref="V53:V58" si="47">U53/J53</f>
        <v>1.0295354572660282</v>
      </c>
      <c r="W53" s="200">
        <f>W42+W43+W51</f>
        <v>22.97</v>
      </c>
      <c r="X53" s="201">
        <f t="shared" ref="X53:X61" si="48">W53/I53</f>
        <v>1</v>
      </c>
      <c r="Y53" s="195">
        <f t="shared" ref="Y53:Y61" si="49">W53-I53</f>
        <v>0</v>
      </c>
      <c r="Z53" s="196">
        <f>Z42+Z43</f>
        <v>22.97</v>
      </c>
      <c r="AA53" s="203">
        <f>Z53/$I53</f>
        <v>1</v>
      </c>
      <c r="AB53" s="204">
        <f>AB42+AB43+AB51</f>
        <v>23.99</v>
      </c>
      <c r="AC53" s="205">
        <f>AB53/$I53</f>
        <v>1.0444057466260339</v>
      </c>
      <c r="AD53" s="200">
        <f>AD42+AD43+AD51</f>
        <v>24.620025868006266</v>
      </c>
      <c r="AE53" s="206">
        <f t="shared" ref="AE53:AE58" si="50">AD53/$I53</f>
        <v>1.0718339515893021</v>
      </c>
      <c r="AF53" s="200">
        <f>AF42+AF43+AF51</f>
        <v>24.99</v>
      </c>
      <c r="AG53" s="165">
        <f>AF53/$I53</f>
        <v>1.0879407923378319</v>
      </c>
    </row>
    <row r="54" spans="1:35" ht="27" customHeight="1" x14ac:dyDescent="0.35">
      <c r="A54" s="207"/>
      <c r="B54" s="454" t="s">
        <v>106</v>
      </c>
      <c r="C54" s="455"/>
      <c r="D54" s="455"/>
      <c r="E54" s="455"/>
      <c r="F54" s="456"/>
      <c r="G54" s="208"/>
      <c r="H54" s="209" t="s">
        <v>107</v>
      </c>
      <c r="I54" s="398">
        <f>I53*18</f>
        <v>413.46</v>
      </c>
      <c r="J54" s="399">
        <f>J53*18</f>
        <v>635.52088701161574</v>
      </c>
      <c r="K54" s="212">
        <f t="shared" ref="K54" si="51">K53*24</f>
        <v>578.81913599999996</v>
      </c>
      <c r="L54" s="213">
        <f t="shared" si="43"/>
        <v>1.3999398635901901</v>
      </c>
      <c r="M54" s="212">
        <f t="shared" ref="M54" si="52">M53*24</f>
        <v>877.15296000000001</v>
      </c>
      <c r="N54" s="216">
        <f t="shared" si="44"/>
        <v>2.1214941227688291</v>
      </c>
      <c r="O54" s="210">
        <f>O53*24</f>
        <v>586.32062083215044</v>
      </c>
      <c r="P54" s="214">
        <f>O54/$I54</f>
        <v>1.4180830572054139</v>
      </c>
      <c r="Q54" s="215">
        <f>Q53*24</f>
        <v>590.88062083215038</v>
      </c>
      <c r="R54" s="214">
        <f>Q54/$I54</f>
        <v>1.4291119354524027</v>
      </c>
      <c r="S54" s="215">
        <f>S53*18</f>
        <v>649.71748701161573</v>
      </c>
      <c r="T54" s="214">
        <f t="shared" si="46"/>
        <v>1.0223385262233569</v>
      </c>
      <c r="U54" s="215">
        <f>U53*18</f>
        <v>654.29128701161574</v>
      </c>
      <c r="V54" s="213">
        <f t="shared" si="47"/>
        <v>1.0295354572660282</v>
      </c>
      <c r="W54" s="217">
        <f>W53*18</f>
        <v>413.46</v>
      </c>
      <c r="X54" s="218">
        <f t="shared" si="48"/>
        <v>1</v>
      </c>
      <c r="Y54" s="211">
        <f t="shared" si="49"/>
        <v>0</v>
      </c>
      <c r="Z54" s="219">
        <f>Z53*24</f>
        <v>551.28</v>
      </c>
      <c r="AA54" s="220">
        <f>Z54/$I54</f>
        <v>1.3333333333333333</v>
      </c>
      <c r="AB54" s="221">
        <f>AB53*24</f>
        <v>575.76</v>
      </c>
      <c r="AC54" s="222">
        <f>AB54/$I54</f>
        <v>1.3925409955013786</v>
      </c>
      <c r="AD54" s="221">
        <f>AD53*24</f>
        <v>590.88062083215038</v>
      </c>
      <c r="AE54" s="222">
        <f t="shared" si="50"/>
        <v>1.4291119354524027</v>
      </c>
      <c r="AF54" s="221">
        <f>AF53*24</f>
        <v>599.76</v>
      </c>
      <c r="AG54" s="222">
        <f>AF54/$I54</f>
        <v>1.4505877231171094</v>
      </c>
    </row>
    <row r="55" spans="1:35" s="230" customFormat="1" ht="25.2" x14ac:dyDescent="0.35">
      <c r="A55" s="31" t="s">
        <v>108</v>
      </c>
      <c r="B55" s="457" t="s">
        <v>109</v>
      </c>
      <c r="C55" s="458"/>
      <c r="D55" s="458"/>
      <c r="E55" s="458"/>
      <c r="F55" s="459"/>
      <c r="G55" s="223"/>
      <c r="H55" s="224" t="s">
        <v>110</v>
      </c>
      <c r="I55" s="382">
        <f>3.07*18</f>
        <v>55.26</v>
      </c>
      <c r="J55" s="383">
        <f>3.07*18</f>
        <v>55.26</v>
      </c>
      <c r="K55" s="118">
        <f>I55</f>
        <v>55.26</v>
      </c>
      <c r="L55" s="225">
        <f t="shared" si="43"/>
        <v>1</v>
      </c>
      <c r="M55" s="118">
        <f>I55</f>
        <v>55.26</v>
      </c>
      <c r="N55" s="124">
        <f>M55/$I55</f>
        <v>1</v>
      </c>
      <c r="O55" s="116">
        <f>3.07*24</f>
        <v>73.679999999999993</v>
      </c>
      <c r="P55" s="226">
        <f t="shared" si="11"/>
        <v>1.3333333333333333</v>
      </c>
      <c r="Q55" s="121">
        <f>3.07*24</f>
        <v>73.679999999999993</v>
      </c>
      <c r="R55" s="226">
        <f t="shared" ref="R55" si="53">Q55/$I55</f>
        <v>1.3333333333333333</v>
      </c>
      <c r="S55" s="121">
        <f>J55</f>
        <v>55.26</v>
      </c>
      <c r="T55" s="226">
        <f t="shared" si="46"/>
        <v>1</v>
      </c>
      <c r="U55" s="121">
        <f>S55</f>
        <v>55.26</v>
      </c>
      <c r="V55" s="119">
        <f t="shared" si="47"/>
        <v>1</v>
      </c>
      <c r="W55" s="228">
        <f>3.07*18</f>
        <v>55.26</v>
      </c>
      <c r="X55" s="120">
        <f t="shared" si="48"/>
        <v>1</v>
      </c>
      <c r="Y55" s="117">
        <f t="shared" si="49"/>
        <v>0</v>
      </c>
      <c r="Z55" s="118">
        <f>3.07*24</f>
        <v>73.679999999999993</v>
      </c>
      <c r="AA55" s="229">
        <f t="shared" ref="AA55:AC55" si="54">Z55/$I55</f>
        <v>1.3333333333333333</v>
      </c>
      <c r="AB55" s="116">
        <f>3.07*24</f>
        <v>73.679999999999993</v>
      </c>
      <c r="AC55" s="227">
        <f t="shared" si="54"/>
        <v>1.3333333333333333</v>
      </c>
      <c r="AD55" s="116">
        <f>3.07*24</f>
        <v>73.679999999999993</v>
      </c>
      <c r="AE55" s="227">
        <f t="shared" si="50"/>
        <v>1.3333333333333333</v>
      </c>
      <c r="AF55" s="116">
        <f>3.07*24</f>
        <v>73.679999999999993</v>
      </c>
      <c r="AG55" s="227">
        <f t="shared" ref="AG55" si="55">AF55/$I55</f>
        <v>1.3333333333333333</v>
      </c>
      <c r="AH55" s="80"/>
      <c r="AI55" s="80"/>
    </row>
    <row r="56" spans="1:35" s="81" customFormat="1" ht="46.5" customHeight="1" x14ac:dyDescent="0.35">
      <c r="A56" s="231"/>
      <c r="B56" s="441" t="s">
        <v>111</v>
      </c>
      <c r="C56" s="442"/>
      <c r="D56" s="442"/>
      <c r="E56" s="442"/>
      <c r="F56" s="443"/>
      <c r="G56" s="232"/>
      <c r="H56" s="233" t="s">
        <v>112</v>
      </c>
      <c r="I56" s="400">
        <f>I54+I55</f>
        <v>468.71999999999997</v>
      </c>
      <c r="J56" s="401">
        <f>J54+J55</f>
        <v>690.78088701161573</v>
      </c>
      <c r="K56" s="236">
        <f t="shared" ref="K56:M56" si="56">K54+K55</f>
        <v>634.07913599999995</v>
      </c>
      <c r="L56" s="237">
        <f t="shared" si="43"/>
        <v>1.3527887352790577</v>
      </c>
      <c r="M56" s="236">
        <f t="shared" si="56"/>
        <v>932.41296</v>
      </c>
      <c r="N56" s="241">
        <f>M56/$I56</f>
        <v>1.9892749615975425</v>
      </c>
      <c r="O56" s="234">
        <f>O54+O55</f>
        <v>660.00062083215039</v>
      </c>
      <c r="P56" s="238">
        <f>O56/$I56</f>
        <v>1.4080914422942277</v>
      </c>
      <c r="Q56" s="239">
        <f>Q54+Q55</f>
        <v>664.56062083215033</v>
      </c>
      <c r="R56" s="238">
        <f>Q56/$I56</f>
        <v>1.4178200649260762</v>
      </c>
      <c r="S56" s="239">
        <f>S54+S55</f>
        <v>704.97748701161572</v>
      </c>
      <c r="T56" s="238">
        <f t="shared" si="46"/>
        <v>1.0205515240316156</v>
      </c>
      <c r="U56" s="239">
        <f>U54+U55</f>
        <v>709.55128701161573</v>
      </c>
      <c r="V56" s="237">
        <f t="shared" si="47"/>
        <v>1.0271727263346884</v>
      </c>
      <c r="W56" s="242">
        <f>W54+W55</f>
        <v>468.71999999999997</v>
      </c>
      <c r="X56" s="243">
        <f t="shared" si="48"/>
        <v>1</v>
      </c>
      <c r="Y56" s="235">
        <f t="shared" si="49"/>
        <v>0</v>
      </c>
      <c r="Z56" s="236">
        <f>Z54+Z55</f>
        <v>624.95999999999992</v>
      </c>
      <c r="AA56" s="122">
        <f>Z56/$I56</f>
        <v>1.3333333333333333</v>
      </c>
      <c r="AB56" s="234">
        <f>AB54+AB55</f>
        <v>649.43999999999994</v>
      </c>
      <c r="AC56" s="240">
        <f>AB56/$I56</f>
        <v>1.3855606758832566</v>
      </c>
      <c r="AD56" s="234">
        <f>AD54+AD55</f>
        <v>664.56062083215033</v>
      </c>
      <c r="AE56" s="240">
        <f t="shared" si="50"/>
        <v>1.4178200649260762</v>
      </c>
      <c r="AF56" s="234">
        <f>AF54+AF55</f>
        <v>673.43999999999994</v>
      </c>
      <c r="AG56" s="240">
        <f>AF56/$I56</f>
        <v>1.4367639528929852</v>
      </c>
      <c r="AH56" s="80"/>
      <c r="AI56" s="80"/>
    </row>
    <row r="57" spans="1:35" s="256" customFormat="1" ht="27" customHeight="1" x14ac:dyDescent="0.35">
      <c r="A57" s="244" t="s">
        <v>113</v>
      </c>
      <c r="B57" s="460" t="s">
        <v>114</v>
      </c>
      <c r="C57" s="461"/>
      <c r="D57" s="461"/>
      <c r="E57" s="461"/>
      <c r="F57" s="462"/>
      <c r="G57" s="245"/>
      <c r="H57" s="246" t="s">
        <v>112</v>
      </c>
      <c r="I57" s="382">
        <f>'[4]КВАРТИРА ХАРАКТ. ОСНОВНОЙ'!$AJ$18</f>
        <v>1493.12</v>
      </c>
      <c r="J57" s="383">
        <v>1436.07</v>
      </c>
      <c r="K57" s="249">
        <v>1678.98</v>
      </c>
      <c r="L57" s="250">
        <f t="shared" si="43"/>
        <v>1.1244776039434206</v>
      </c>
      <c r="M57" s="249">
        <f>O57</f>
        <v>1678.98</v>
      </c>
      <c r="N57" s="254">
        <f>M57/I57</f>
        <v>1.1244776039434206</v>
      </c>
      <c r="O57" s="247">
        <f>K57</f>
        <v>1678.98</v>
      </c>
      <c r="P57" s="252">
        <f>O57/$I57</f>
        <v>1.1244776039434206</v>
      </c>
      <c r="Q57" s="253">
        <f>O57</f>
        <v>1678.98</v>
      </c>
      <c r="R57" s="252">
        <f>Q57/$I57</f>
        <v>1.1244776039434206</v>
      </c>
      <c r="S57" s="253">
        <v>1493.12</v>
      </c>
      <c r="T57" s="252">
        <f t="shared" si="46"/>
        <v>1.0397264757288989</v>
      </c>
      <c r="U57" s="253">
        <f>S57</f>
        <v>1493.12</v>
      </c>
      <c r="V57" s="250">
        <f t="shared" si="47"/>
        <v>1.0397264757288989</v>
      </c>
      <c r="W57" s="255">
        <f>'[4]КВАРТИРА ХАРАКТ. ОСНОВНОЙ'!$AQ$18</f>
        <v>1633.1399999999999</v>
      </c>
      <c r="X57" s="251">
        <f t="shared" si="48"/>
        <v>1.093776789541363</v>
      </c>
      <c r="Y57" s="248">
        <f t="shared" si="49"/>
        <v>140.01999999999998</v>
      </c>
      <c r="Z57" s="118">
        <v>1836.66</v>
      </c>
      <c r="AA57" s="122">
        <f>Z57/$I57</f>
        <v>1.2300819759965711</v>
      </c>
      <c r="AB57" s="116">
        <f>AD57</f>
        <v>1836.66</v>
      </c>
      <c r="AC57" s="240">
        <f>AB57/$I57</f>
        <v>1.2300819759965711</v>
      </c>
      <c r="AD57" s="116">
        <v>1836.66</v>
      </c>
      <c r="AE57" s="240">
        <f t="shared" si="50"/>
        <v>1.2300819759965711</v>
      </c>
      <c r="AF57" s="116">
        <f>AB57</f>
        <v>1836.66</v>
      </c>
      <c r="AG57" s="240">
        <f>AF57/$I57</f>
        <v>1.2300819759965711</v>
      </c>
      <c r="AH57" s="80"/>
      <c r="AI57" s="80"/>
    </row>
    <row r="58" spans="1:35" s="81" customFormat="1" ht="48" customHeight="1" x14ac:dyDescent="0.35">
      <c r="A58" s="231"/>
      <c r="B58" s="441" t="s">
        <v>115</v>
      </c>
      <c r="C58" s="442"/>
      <c r="D58" s="442"/>
      <c r="E58" s="442"/>
      <c r="F58" s="443"/>
      <c r="G58" s="232"/>
      <c r="H58" s="233" t="s">
        <v>112</v>
      </c>
      <c r="I58" s="400">
        <f>I54+I55+I57</f>
        <v>1961.84</v>
      </c>
      <c r="J58" s="401">
        <f>J54+J55+J57</f>
        <v>2126.8508870116157</v>
      </c>
      <c r="K58" s="236">
        <f t="shared" ref="K58:M58" si="57">K54+K55+K57</f>
        <v>2313.0591359999999</v>
      </c>
      <c r="L58" s="237">
        <f t="shared" si="43"/>
        <v>1.1790253720996615</v>
      </c>
      <c r="M58" s="236">
        <f t="shared" si="57"/>
        <v>2611.3929600000001</v>
      </c>
      <c r="N58" s="241">
        <f>M58/$I58</f>
        <v>1.3310937487256862</v>
      </c>
      <c r="O58" s="234">
        <f>O54+O55+O57</f>
        <v>2338.9806208321506</v>
      </c>
      <c r="P58" s="238">
        <f>O58/$I58</f>
        <v>1.1922382155691345</v>
      </c>
      <c r="Q58" s="239">
        <f>Q54+Q55+Q57</f>
        <v>2343.5406208321501</v>
      </c>
      <c r="R58" s="238">
        <f>Q58/$I58</f>
        <v>1.1945625641398636</v>
      </c>
      <c r="S58" s="239">
        <f>S54+S55+S57</f>
        <v>2198.0974870116156</v>
      </c>
      <c r="T58" s="238">
        <f t="shared" si="46"/>
        <v>1.0334986342649093</v>
      </c>
      <c r="U58" s="239">
        <f>U54+U55+U57</f>
        <v>2202.6712870116157</v>
      </c>
      <c r="V58" s="237">
        <f t="shared" si="47"/>
        <v>1.0356491376349064</v>
      </c>
      <c r="W58" s="242">
        <f>W54+W55+W57</f>
        <v>2101.8599999999997</v>
      </c>
      <c r="X58" s="120">
        <f t="shared" si="48"/>
        <v>1.0713717734371813</v>
      </c>
      <c r="Y58" s="235">
        <f t="shared" si="49"/>
        <v>140.01999999999975</v>
      </c>
      <c r="Z58" s="236">
        <f>Z54+Z55+Z57</f>
        <v>2461.62</v>
      </c>
      <c r="AA58" s="122">
        <f>Z58/$I58</f>
        <v>1.2547506422542103</v>
      </c>
      <c r="AB58" s="234">
        <f>AB54+AB55+AB57</f>
        <v>2486.1</v>
      </c>
      <c r="AC58" s="240">
        <f>AB58/$I58</f>
        <v>1.2672287240549689</v>
      </c>
      <c r="AD58" s="234">
        <f>AD54+AD55+AD57</f>
        <v>2501.2206208321504</v>
      </c>
      <c r="AE58" s="240">
        <f t="shared" si="50"/>
        <v>1.2749360910329846</v>
      </c>
      <c r="AF58" s="234">
        <f>AF54+AF55+AF57</f>
        <v>2510.1</v>
      </c>
      <c r="AG58" s="240">
        <f>AF58/$I58</f>
        <v>1.2794621375851243</v>
      </c>
      <c r="AH58" s="80"/>
      <c r="AI58" s="80"/>
    </row>
    <row r="59" spans="1:35" s="269" customFormat="1" ht="25.5" hidden="1" customHeight="1" x14ac:dyDescent="0.4">
      <c r="A59" s="257" t="s">
        <v>116</v>
      </c>
      <c r="B59" s="441" t="s">
        <v>115</v>
      </c>
      <c r="C59" s="442"/>
      <c r="D59" s="442"/>
      <c r="E59" s="442"/>
      <c r="F59" s="443"/>
      <c r="G59" s="258"/>
      <c r="H59" s="259" t="s">
        <v>117</v>
      </c>
      <c r="I59" s="402"/>
      <c r="J59" s="403"/>
      <c r="K59" s="262"/>
      <c r="L59" s="263"/>
      <c r="M59" s="262"/>
      <c r="N59" s="261"/>
      <c r="O59" s="260"/>
      <c r="P59" s="264"/>
      <c r="Q59" s="264"/>
      <c r="R59" s="264"/>
      <c r="S59" s="264"/>
      <c r="T59" s="264"/>
      <c r="U59" s="264"/>
      <c r="V59" s="263"/>
      <c r="W59" s="266"/>
      <c r="X59" s="267" t="e">
        <f t="shared" si="48"/>
        <v>#DIV/0!</v>
      </c>
      <c r="Y59" s="261">
        <f t="shared" si="49"/>
        <v>0</v>
      </c>
      <c r="Z59" s="262"/>
      <c r="AA59" s="263"/>
      <c r="AB59" s="260"/>
      <c r="AC59" s="265"/>
      <c r="AD59" s="260"/>
      <c r="AE59" s="265"/>
      <c r="AF59" s="260"/>
      <c r="AG59" s="265"/>
      <c r="AH59" s="268"/>
      <c r="AI59" s="268"/>
    </row>
    <row r="60" spans="1:35" s="81" customFormat="1" ht="27.75" hidden="1" customHeight="1" thickBot="1" x14ac:dyDescent="0.35">
      <c r="A60" s="270"/>
      <c r="B60" s="444" t="s">
        <v>115</v>
      </c>
      <c r="C60" s="445"/>
      <c r="D60" s="445"/>
      <c r="E60" s="445"/>
      <c r="F60" s="446"/>
      <c r="G60" s="271"/>
      <c r="H60" s="272" t="s">
        <v>118</v>
      </c>
      <c r="I60" s="404">
        <f>I58+I59</f>
        <v>1961.84</v>
      </c>
      <c r="J60" s="405">
        <f>J58+J59</f>
        <v>2126.8508870116157</v>
      </c>
      <c r="K60" s="275">
        <f t="shared" ref="K60:M60" si="58">K58+K59</f>
        <v>2313.0591359999999</v>
      </c>
      <c r="L60" s="276">
        <f>K60/I60</f>
        <v>1.1790253720996615</v>
      </c>
      <c r="M60" s="275">
        <f t="shared" si="58"/>
        <v>2611.3929600000001</v>
      </c>
      <c r="N60" s="280">
        <f>M60/$I60</f>
        <v>1.3310937487256862</v>
      </c>
      <c r="O60" s="273">
        <f>O58+O59</f>
        <v>2338.9806208321506</v>
      </c>
      <c r="P60" s="277">
        <f>O60/$I60</f>
        <v>1.1922382155691345</v>
      </c>
      <c r="Q60" s="278">
        <f>Q58+Q59</f>
        <v>2343.5406208321501</v>
      </c>
      <c r="R60" s="277">
        <f>Q60/$I60</f>
        <v>1.1945625641398636</v>
      </c>
      <c r="S60" s="278">
        <f>S58+S59</f>
        <v>2198.0974870116156</v>
      </c>
      <c r="T60" s="277">
        <f>S60/J60</f>
        <v>1.0334986342649093</v>
      </c>
      <c r="U60" s="278">
        <f>U58+U59</f>
        <v>2202.6712870116157</v>
      </c>
      <c r="V60" s="276">
        <f>U60/J60</f>
        <v>1.0356491376349064</v>
      </c>
      <c r="W60" s="281">
        <f>W58+W59</f>
        <v>2101.8599999999997</v>
      </c>
      <c r="X60" s="282">
        <f t="shared" si="48"/>
        <v>1.0713717734371813</v>
      </c>
      <c r="Y60" s="274">
        <f t="shared" si="49"/>
        <v>140.01999999999975</v>
      </c>
      <c r="Z60" s="275">
        <f>Z58+Z59</f>
        <v>2461.62</v>
      </c>
      <c r="AA60" s="276"/>
      <c r="AB60" s="273">
        <f>AB58+AB59</f>
        <v>2486.1</v>
      </c>
      <c r="AC60" s="279">
        <f>AB60/$I60</f>
        <v>1.2672287240549689</v>
      </c>
      <c r="AD60" s="273">
        <f>AD58+AD59</f>
        <v>2501.2206208321504</v>
      </c>
      <c r="AE60" s="279">
        <f>AD60/$I60</f>
        <v>1.2749360910329846</v>
      </c>
      <c r="AF60" s="273">
        <f>AF58+AF59</f>
        <v>2510.1</v>
      </c>
      <c r="AG60" s="279">
        <f>AF60/$I60</f>
        <v>1.2794621375851243</v>
      </c>
      <c r="AH60" s="80"/>
      <c r="AI60" s="80"/>
    </row>
    <row r="61" spans="1:35" s="368" customFormat="1" ht="45" customHeight="1" x14ac:dyDescent="0.5">
      <c r="A61" s="354"/>
      <c r="B61" s="447" t="s">
        <v>138</v>
      </c>
      <c r="C61" s="447"/>
      <c r="D61" s="447"/>
      <c r="E61" s="447"/>
      <c r="F61" s="447"/>
      <c r="G61" s="355"/>
      <c r="H61" s="356" t="s">
        <v>37</v>
      </c>
      <c r="I61" s="404">
        <f>I58/18</f>
        <v>108.99111111111111</v>
      </c>
      <c r="J61" s="405"/>
      <c r="K61" s="359"/>
      <c r="L61" s="360"/>
      <c r="M61" s="359"/>
      <c r="N61" s="360"/>
      <c r="O61" s="362"/>
      <c r="P61" s="360"/>
      <c r="Q61" s="362"/>
      <c r="R61" s="360"/>
      <c r="S61" s="362"/>
      <c r="T61" s="360"/>
      <c r="U61" s="362"/>
      <c r="V61" s="361"/>
      <c r="W61" s="363">
        <f>W58/18</f>
        <v>116.76999999999998</v>
      </c>
      <c r="X61" s="364">
        <f t="shared" si="48"/>
        <v>1.0713717734371813</v>
      </c>
      <c r="Y61" s="358">
        <f t="shared" si="49"/>
        <v>7.7788888888888721</v>
      </c>
      <c r="Z61" s="359">
        <f>Z58/24</f>
        <v>102.5675</v>
      </c>
      <c r="AA61" s="361"/>
      <c r="AB61" s="357">
        <f>AB58/24</f>
        <v>103.58749999999999</v>
      </c>
      <c r="AC61" s="365"/>
      <c r="AD61" s="357">
        <f>AD58/24</f>
        <v>104.21752586800626</v>
      </c>
      <c r="AE61" s="366"/>
      <c r="AF61" s="357">
        <f>AF58/24</f>
        <v>104.58749999999999</v>
      </c>
      <c r="AG61" s="365"/>
      <c r="AH61" s="367"/>
      <c r="AI61" s="367"/>
    </row>
    <row r="62" spans="1:35" s="284" customFormat="1" ht="26.25" customHeight="1" thickBot="1" x14ac:dyDescent="0.55000000000000004">
      <c r="A62" s="285" t="s">
        <v>116</v>
      </c>
      <c r="B62" s="448" t="s">
        <v>119</v>
      </c>
      <c r="C62" s="448"/>
      <c r="D62" s="448"/>
      <c r="E62" s="448"/>
      <c r="F62" s="286"/>
      <c r="G62" s="286"/>
      <c r="H62" s="287" t="s">
        <v>37</v>
      </c>
      <c r="I62" s="404">
        <v>2.74</v>
      </c>
      <c r="J62" s="405"/>
      <c r="K62" s="289"/>
      <c r="L62" s="290"/>
      <c r="M62" s="291"/>
      <c r="N62" s="290"/>
      <c r="O62" s="291"/>
      <c r="P62" s="290"/>
      <c r="Q62" s="291"/>
      <c r="R62" s="290"/>
      <c r="S62" s="291"/>
      <c r="T62" s="290"/>
      <c r="U62" s="291"/>
      <c r="V62" s="292"/>
      <c r="W62" s="293"/>
      <c r="X62" s="294"/>
      <c r="Y62" s="274"/>
      <c r="Z62" s="289"/>
      <c r="AA62" s="292"/>
      <c r="AB62" s="288"/>
      <c r="AC62" s="295"/>
      <c r="AD62" s="291"/>
      <c r="AE62" s="296"/>
      <c r="AF62" s="281"/>
      <c r="AG62" s="297"/>
      <c r="AH62" s="283"/>
      <c r="AI62" s="283"/>
    </row>
    <row r="63" spans="1:35" s="310" customFormat="1" ht="64.5" hidden="1" customHeight="1" thickBot="1" x14ac:dyDescent="0.55000000000000004">
      <c r="A63" s="298" t="s">
        <v>120</v>
      </c>
      <c r="B63" s="432" t="s">
        <v>121</v>
      </c>
      <c r="C63" s="432"/>
      <c r="D63" s="432"/>
      <c r="E63" s="432"/>
      <c r="F63" s="299"/>
      <c r="G63" s="299"/>
      <c r="H63" s="300" t="s">
        <v>112</v>
      </c>
      <c r="I63" s="406"/>
      <c r="J63" s="407"/>
      <c r="K63" s="301"/>
      <c r="L63" s="302"/>
      <c r="M63" s="303"/>
      <c r="N63" s="302"/>
      <c r="O63" s="303"/>
      <c r="P63" s="302"/>
      <c r="Q63" s="303"/>
      <c r="R63" s="302"/>
      <c r="S63" s="303"/>
      <c r="T63" s="302"/>
      <c r="U63" s="303"/>
      <c r="V63" s="304"/>
      <c r="W63" s="369">
        <f>(W61-$I$61)*18</f>
        <v>140.0199999999997</v>
      </c>
      <c r="X63" s="317"/>
      <c r="Y63" s="274"/>
      <c r="Z63" s="301">
        <f>(Z61-$I$61)*24</f>
        <v>-154.16666666666674</v>
      </c>
      <c r="AA63" s="304"/>
      <c r="AB63" s="303">
        <f>(AB61-$I$61)*24</f>
        <v>-129.68666666666684</v>
      </c>
      <c r="AC63" s="305"/>
      <c r="AD63" s="303">
        <f>(AD61-$I$61)*24</f>
        <v>-114.56604583451633</v>
      </c>
      <c r="AE63" s="306"/>
      <c r="AF63" s="307">
        <f>(AF61-$I$61)*24</f>
        <v>-105.68666666666684</v>
      </c>
      <c r="AG63" s="308"/>
      <c r="AH63" s="309"/>
      <c r="AI63" s="309"/>
    </row>
    <row r="64" spans="1:35" s="310" customFormat="1" ht="42" customHeight="1" thickBot="1" x14ac:dyDescent="0.55000000000000004">
      <c r="A64" s="311" t="s">
        <v>120</v>
      </c>
      <c r="B64" s="449" t="s">
        <v>123</v>
      </c>
      <c r="C64" s="449"/>
      <c r="D64" s="449"/>
      <c r="E64" s="449"/>
      <c r="F64" s="312"/>
      <c r="G64" s="312"/>
      <c r="H64" s="272" t="s">
        <v>110</v>
      </c>
      <c r="I64" s="408"/>
      <c r="J64" s="409"/>
      <c r="K64" s="313"/>
      <c r="L64" s="314"/>
      <c r="M64" s="315"/>
      <c r="N64" s="314"/>
      <c r="O64" s="315"/>
      <c r="P64" s="314"/>
      <c r="Q64" s="315"/>
      <c r="R64" s="314"/>
      <c r="S64" s="315"/>
      <c r="T64" s="314"/>
      <c r="U64" s="315"/>
      <c r="V64" s="316"/>
      <c r="W64" s="370">
        <v>119.5</v>
      </c>
      <c r="X64" s="371"/>
      <c r="Y64" s="372"/>
      <c r="Z64" s="301">
        <f>(Z62-$I$61)*24</f>
        <v>-2615.7866666666669</v>
      </c>
      <c r="AA64" s="304"/>
      <c r="AB64" s="303">
        <f>(AB62-$I$61)*24</f>
        <v>-2615.7866666666669</v>
      </c>
      <c r="AC64" s="305"/>
      <c r="AD64" s="303">
        <f>(AD62-$I$61)*24</f>
        <v>-2615.7866666666669</v>
      </c>
      <c r="AE64" s="306"/>
      <c r="AF64" s="307">
        <f>(AF62-$I$61)*24</f>
        <v>-2615.7866666666669</v>
      </c>
      <c r="AG64" s="308"/>
      <c r="AH64" s="309"/>
      <c r="AI64" s="309"/>
    </row>
    <row r="65" spans="1:35" s="310" customFormat="1" ht="47.25" customHeight="1" thickBot="1" x14ac:dyDescent="0.55000000000000004">
      <c r="A65" s="298" t="s">
        <v>122</v>
      </c>
      <c r="B65" s="432" t="s">
        <v>124</v>
      </c>
      <c r="C65" s="432"/>
      <c r="D65" s="432"/>
      <c r="E65" s="432"/>
      <c r="F65" s="299"/>
      <c r="G65" s="299"/>
      <c r="H65" s="300" t="s">
        <v>110</v>
      </c>
      <c r="I65" s="406"/>
      <c r="J65" s="407"/>
      <c r="K65" s="301"/>
      <c r="L65" s="302"/>
      <c r="M65" s="303"/>
      <c r="N65" s="302"/>
      <c r="O65" s="303"/>
      <c r="P65" s="302"/>
      <c r="Q65" s="303"/>
      <c r="R65" s="302"/>
      <c r="S65" s="303"/>
      <c r="T65" s="302"/>
      <c r="U65" s="303"/>
      <c r="V65" s="304"/>
      <c r="W65" s="373">
        <f>W61-W64</f>
        <v>-2.7300000000000182</v>
      </c>
      <c r="X65" s="294"/>
      <c r="Y65" s="374"/>
      <c r="Z65" s="301">
        <f>(Z62-$I$61)*24</f>
        <v>-2615.7866666666669</v>
      </c>
      <c r="AA65" s="304"/>
      <c r="AB65" s="303">
        <f>(AB62-$I$61)*24</f>
        <v>-2615.7866666666669</v>
      </c>
      <c r="AC65" s="305"/>
      <c r="AD65" s="303">
        <f>(AD62-$I$61)*24</f>
        <v>-2615.7866666666669</v>
      </c>
      <c r="AE65" s="306"/>
      <c r="AF65" s="307">
        <f>(AF62-$I$61)*24</f>
        <v>-2615.7866666666669</v>
      </c>
      <c r="AG65" s="308"/>
      <c r="AH65" s="309"/>
      <c r="AI65" s="309"/>
    </row>
    <row r="66" spans="1:35" s="321" customFormat="1" x14ac:dyDescent="0.35">
      <c r="A66" s="318" t="s">
        <v>125</v>
      </c>
      <c r="B66" s="319"/>
      <c r="C66" s="319"/>
      <c r="D66" s="319"/>
      <c r="E66" s="319"/>
      <c r="F66" s="319"/>
      <c r="G66" s="319"/>
      <c r="H66" s="319"/>
      <c r="I66" s="320"/>
      <c r="J66" s="320"/>
      <c r="K66" s="320"/>
      <c r="L66" s="320"/>
      <c r="M66" s="320"/>
      <c r="N66" s="320"/>
      <c r="O66" s="320"/>
      <c r="P66" s="320"/>
      <c r="U66" s="320"/>
      <c r="V66" s="320"/>
      <c r="W66" s="322"/>
      <c r="X66" s="322"/>
      <c r="Y66" s="322"/>
      <c r="Z66" s="320"/>
      <c r="AA66" s="320"/>
      <c r="AH66" s="323"/>
      <c r="AI66" s="323"/>
    </row>
    <row r="67" spans="1:35" s="321" customFormat="1" ht="49.2" customHeight="1" x14ac:dyDescent="0.35">
      <c r="A67" s="324"/>
      <c r="B67" s="450" t="s">
        <v>135</v>
      </c>
      <c r="C67" s="450"/>
      <c r="D67" s="450"/>
      <c r="E67" s="450"/>
      <c r="F67" s="450"/>
      <c r="G67" s="450"/>
      <c r="H67" s="450"/>
      <c r="I67" s="450"/>
      <c r="J67" s="450"/>
      <c r="K67" s="450"/>
      <c r="L67" s="450"/>
      <c r="M67" s="450"/>
      <c r="N67" s="450"/>
      <c r="O67" s="450"/>
      <c r="P67" s="450"/>
      <c r="Q67" s="450"/>
      <c r="R67" s="450"/>
      <c r="S67" s="450"/>
      <c r="T67" s="450"/>
      <c r="U67" s="450"/>
      <c r="V67" s="450"/>
      <c r="W67" s="450"/>
      <c r="X67" s="450"/>
      <c r="Y67" s="450"/>
      <c r="Z67" s="320"/>
      <c r="AA67" s="320"/>
      <c r="AB67" s="325"/>
      <c r="AH67" s="323"/>
      <c r="AI67" s="323"/>
    </row>
    <row r="68" spans="1:35" s="321" customFormat="1" ht="22.8" x14ac:dyDescent="0.35">
      <c r="A68" s="324"/>
      <c r="B68" s="450" t="s">
        <v>134</v>
      </c>
      <c r="C68" s="450"/>
      <c r="D68" s="450"/>
      <c r="E68" s="450"/>
      <c r="F68" s="450"/>
      <c r="G68" s="450"/>
      <c r="H68" s="450"/>
      <c r="I68" s="450"/>
      <c r="J68" s="450"/>
      <c r="K68" s="450"/>
      <c r="L68" s="450"/>
      <c r="M68" s="450"/>
      <c r="N68" s="450"/>
      <c r="O68" s="450"/>
      <c r="P68" s="450"/>
      <c r="Q68" s="450"/>
      <c r="R68" s="450"/>
      <c r="S68" s="450"/>
      <c r="T68" s="450"/>
      <c r="U68" s="450"/>
      <c r="V68" s="450"/>
      <c r="W68" s="450"/>
      <c r="X68" s="450"/>
      <c r="Y68" s="450"/>
      <c r="Z68" s="320"/>
      <c r="AA68" s="320"/>
      <c r="AH68" s="323"/>
      <c r="AI68" s="323"/>
    </row>
    <row r="69" spans="1:35" s="321" customFormat="1" ht="54" customHeight="1" x14ac:dyDescent="0.35">
      <c r="A69" s="324"/>
      <c r="B69" s="450" t="s">
        <v>126</v>
      </c>
      <c r="C69" s="450"/>
      <c r="D69" s="450"/>
      <c r="E69" s="450"/>
      <c r="F69" s="450"/>
      <c r="G69" s="450"/>
      <c r="H69" s="450"/>
      <c r="I69" s="450"/>
      <c r="J69" s="450"/>
      <c r="K69" s="450"/>
      <c r="L69" s="450"/>
      <c r="M69" s="450"/>
      <c r="N69" s="450"/>
      <c r="O69" s="450"/>
      <c r="P69" s="450"/>
      <c r="Q69" s="450"/>
      <c r="R69" s="450"/>
      <c r="S69" s="450"/>
      <c r="T69" s="450"/>
      <c r="U69" s="450"/>
      <c r="V69" s="450"/>
      <c r="W69" s="450"/>
      <c r="X69" s="450"/>
      <c r="Y69" s="450"/>
      <c r="Z69" s="320"/>
      <c r="AA69" s="320"/>
      <c r="AH69" s="323"/>
      <c r="AI69" s="323"/>
    </row>
    <row r="70" spans="1:35" s="321" customFormat="1" ht="55.5" customHeight="1" x14ac:dyDescent="0.4">
      <c r="A70" s="433" t="s">
        <v>152</v>
      </c>
      <c r="B70" s="433"/>
      <c r="C70" s="433"/>
      <c r="D70" s="433"/>
      <c r="E70" s="433"/>
      <c r="F70" s="433"/>
      <c r="G70" s="433"/>
      <c r="H70" s="433"/>
      <c r="I70" s="433"/>
      <c r="J70" s="433"/>
      <c r="K70" s="433"/>
      <c r="L70" s="433"/>
      <c r="M70" s="433"/>
      <c r="N70" s="433"/>
      <c r="O70" s="433"/>
      <c r="P70" s="433"/>
      <c r="Q70" s="433"/>
      <c r="R70" s="433"/>
      <c r="S70" s="433"/>
      <c r="T70" s="433"/>
      <c r="U70" s="433"/>
      <c r="V70" s="433"/>
      <c r="W70" s="433"/>
      <c r="X70" s="433"/>
      <c r="Y70" s="433"/>
      <c r="Z70" s="433"/>
      <c r="AA70" s="433"/>
      <c r="AB70" s="433"/>
      <c r="AC70" s="433"/>
      <c r="AD70" s="433"/>
      <c r="AE70" s="433"/>
      <c r="AH70" s="323"/>
      <c r="AI70" s="323"/>
    </row>
    <row r="71" spans="1:35" ht="15.75" customHeight="1" x14ac:dyDescent="0.35">
      <c r="A71" s="256"/>
      <c r="B71" s="326"/>
      <c r="C71" s="326"/>
      <c r="D71" s="326"/>
      <c r="E71" s="326"/>
      <c r="F71" s="326"/>
      <c r="G71" s="326"/>
      <c r="H71" s="326"/>
      <c r="I71" s="81"/>
      <c r="J71" s="81"/>
      <c r="K71" s="81"/>
      <c r="L71" s="81"/>
      <c r="M71" s="81"/>
      <c r="N71" s="81"/>
      <c r="O71" s="81"/>
      <c r="P71" s="81"/>
      <c r="U71" s="81"/>
      <c r="V71" s="81"/>
      <c r="W71" s="327"/>
      <c r="X71" s="327"/>
      <c r="Y71" s="327"/>
      <c r="Z71" s="81"/>
      <c r="AA71" s="81"/>
    </row>
    <row r="72" spans="1:35" s="321" customFormat="1" ht="96" customHeight="1" thickBot="1" x14ac:dyDescent="0.4">
      <c r="A72" s="434" t="s">
        <v>127</v>
      </c>
      <c r="B72" s="434"/>
      <c r="C72" s="434"/>
      <c r="D72" s="434"/>
      <c r="E72" s="434"/>
      <c r="F72" s="328"/>
      <c r="G72" s="319"/>
      <c r="H72" s="319"/>
      <c r="I72" s="322"/>
      <c r="J72" s="322"/>
      <c r="K72" s="320"/>
      <c r="L72" s="320"/>
      <c r="M72" s="320"/>
      <c r="N72" s="320"/>
      <c r="O72" s="320"/>
      <c r="P72" s="320"/>
      <c r="U72" s="320"/>
      <c r="V72" s="320"/>
      <c r="W72" s="322"/>
      <c r="X72" s="322"/>
      <c r="Y72" s="322"/>
      <c r="Z72" s="320"/>
      <c r="AA72" s="320"/>
      <c r="AH72" s="323"/>
      <c r="AI72" s="323"/>
    </row>
    <row r="73" spans="1:35" s="321" customFormat="1" ht="69.75" customHeight="1" thickBot="1" x14ac:dyDescent="0.4">
      <c r="A73" s="329" t="s">
        <v>1</v>
      </c>
      <c r="B73" s="330" t="s">
        <v>128</v>
      </c>
      <c r="C73" s="330" t="s">
        <v>129</v>
      </c>
      <c r="D73" s="435" t="s">
        <v>130</v>
      </c>
      <c r="E73" s="436"/>
      <c r="F73" s="331"/>
      <c r="G73" s="331"/>
      <c r="H73" s="331"/>
      <c r="I73" s="331"/>
      <c r="J73" s="332"/>
      <c r="K73" s="332"/>
      <c r="L73" s="332"/>
      <c r="M73" s="320"/>
      <c r="N73" s="320"/>
      <c r="O73" s="320"/>
      <c r="P73" s="320"/>
      <c r="U73" s="320"/>
      <c r="V73" s="320"/>
      <c r="W73" s="322"/>
      <c r="X73" s="322"/>
      <c r="Y73" s="322"/>
      <c r="Z73" s="333">
        <v>0.93</v>
      </c>
      <c r="AA73" s="333">
        <v>100</v>
      </c>
      <c r="AB73" s="334">
        <v>0.59</v>
      </c>
      <c r="AC73" s="334"/>
      <c r="AH73" s="323"/>
      <c r="AI73" s="323"/>
    </row>
    <row r="74" spans="1:35" s="340" customFormat="1" ht="23.25" customHeight="1" thickBot="1" x14ac:dyDescent="0.45">
      <c r="A74" s="335">
        <v>1</v>
      </c>
      <c r="B74" s="336">
        <v>2</v>
      </c>
      <c r="C74" s="336">
        <v>3</v>
      </c>
      <c r="D74" s="437">
        <v>4</v>
      </c>
      <c r="E74" s="438"/>
      <c r="F74" s="337"/>
      <c r="G74" s="337"/>
      <c r="H74" s="337"/>
      <c r="I74" s="337"/>
      <c r="J74" s="338"/>
      <c r="K74" s="338"/>
      <c r="L74" s="338"/>
      <c r="M74" s="339"/>
      <c r="N74" s="339"/>
      <c r="O74" s="339"/>
      <c r="P74" s="339"/>
      <c r="U74" s="339"/>
      <c r="V74" s="339"/>
      <c r="W74" s="341"/>
      <c r="X74" s="341"/>
      <c r="Y74" s="341"/>
      <c r="Z74" s="342"/>
      <c r="AA74" s="342"/>
      <c r="AB74" s="343"/>
      <c r="AC74" s="343"/>
      <c r="AH74" s="323"/>
      <c r="AI74" s="323"/>
    </row>
    <row r="75" spans="1:35" s="321" customFormat="1" ht="28.2" x14ac:dyDescent="0.35">
      <c r="A75" s="344">
        <v>1</v>
      </c>
      <c r="B75" s="345" t="s">
        <v>131</v>
      </c>
      <c r="C75" s="346">
        <v>78194</v>
      </c>
      <c r="D75" s="439"/>
      <c r="E75" s="440"/>
      <c r="F75" s="347"/>
      <c r="G75" s="347"/>
      <c r="W75" s="325"/>
      <c r="X75" s="325"/>
      <c r="Y75" s="325"/>
      <c r="Z75" s="334">
        <v>0.61</v>
      </c>
      <c r="AA75" s="334">
        <f>ROUND(Z75*$AA$73/$Z$73,1)</f>
        <v>65.599999999999994</v>
      </c>
      <c r="AB75" s="334">
        <f>AA75*$AB$73/$AA$73</f>
        <v>0.38703999999999994</v>
      </c>
      <c r="AC75" s="334"/>
      <c r="AH75" s="323"/>
      <c r="AI75" s="323"/>
    </row>
    <row r="76" spans="1:35" s="321" customFormat="1" ht="28.2" x14ac:dyDescent="0.35">
      <c r="A76" s="348">
        <v>2</v>
      </c>
      <c r="B76" s="349" t="s">
        <v>132</v>
      </c>
      <c r="C76" s="350">
        <v>78109</v>
      </c>
      <c r="D76" s="428">
        <f>C76/$C$75</f>
        <v>0.99891296007366293</v>
      </c>
      <c r="E76" s="429"/>
      <c r="F76" s="347"/>
      <c r="G76" s="347"/>
      <c r="W76" s="325"/>
      <c r="X76" s="325"/>
      <c r="Y76" s="325"/>
      <c r="Z76" s="334">
        <v>0.09</v>
      </c>
      <c r="AA76" s="334">
        <f t="shared" ref="AA76:AA78" si="59">ROUND(Z76*$AA$73/$Z$73,1)</f>
        <v>9.6999999999999993</v>
      </c>
      <c r="AB76" s="334">
        <f>AA76*$AB$73/$AA$73</f>
        <v>5.7229999999999989E-2</v>
      </c>
      <c r="AC76" s="334"/>
      <c r="AH76" s="323"/>
      <c r="AI76" s="323"/>
    </row>
    <row r="77" spans="1:35" s="321" customFormat="1" ht="28.8" thickBot="1" x14ac:dyDescent="0.4">
      <c r="A77" s="351">
        <v>3</v>
      </c>
      <c r="B77" s="352" t="s">
        <v>133</v>
      </c>
      <c r="C77" s="353">
        <v>74434</v>
      </c>
      <c r="D77" s="430">
        <f>C77/$C$76</f>
        <v>0.95295036423459523</v>
      </c>
      <c r="E77" s="431"/>
      <c r="F77" s="347"/>
      <c r="G77" s="347"/>
      <c r="W77" s="325"/>
      <c r="X77" s="325"/>
      <c r="Y77" s="325"/>
      <c r="Z77" s="334">
        <v>0.11</v>
      </c>
      <c r="AA77" s="334">
        <f t="shared" si="59"/>
        <v>11.8</v>
      </c>
      <c r="AB77" s="334">
        <f>AA77*$AB$73/$AA$73</f>
        <v>6.9620000000000001E-2</v>
      </c>
      <c r="AC77" s="334"/>
      <c r="AH77" s="323"/>
      <c r="AI77" s="323"/>
    </row>
    <row r="78" spans="1:35" s="321" customFormat="1" ht="21" x14ac:dyDescent="0.4">
      <c r="A78" s="340"/>
      <c r="B78" s="340"/>
      <c r="C78" s="340"/>
      <c r="D78" s="340"/>
      <c r="E78" s="340"/>
      <c r="W78" s="325"/>
      <c r="X78" s="325"/>
      <c r="Y78" s="325"/>
      <c r="Z78" s="334">
        <v>0.12</v>
      </c>
      <c r="AA78" s="334">
        <f t="shared" si="59"/>
        <v>12.9</v>
      </c>
      <c r="AB78" s="334">
        <f>AA78*$AB$73/$AA$73</f>
        <v>7.6109999999999997E-2</v>
      </c>
      <c r="AC78" s="334"/>
      <c r="AH78" s="323"/>
      <c r="AI78" s="323"/>
    </row>
    <row r="79" spans="1:35" s="321" customFormat="1" x14ac:dyDescent="0.35">
      <c r="W79" s="325"/>
      <c r="X79" s="325"/>
      <c r="Y79" s="325"/>
      <c r="Z79" s="334"/>
      <c r="AA79" s="334"/>
      <c r="AB79" s="334"/>
      <c r="AC79" s="334"/>
      <c r="AH79" s="323"/>
      <c r="AI79" s="323"/>
    </row>
    <row r="80" spans="1:35" s="321" customFormat="1" x14ac:dyDescent="0.35">
      <c r="W80" s="325"/>
      <c r="X80" s="325"/>
      <c r="Y80" s="325"/>
      <c r="Z80" s="334"/>
      <c r="AA80" s="334"/>
      <c r="AB80" s="334"/>
      <c r="AC80" s="334"/>
      <c r="AH80" s="323"/>
      <c r="AI80" s="323"/>
    </row>
    <row r="81" spans="23:35" s="321" customFormat="1" x14ac:dyDescent="0.35">
      <c r="W81" s="325"/>
      <c r="X81" s="325"/>
      <c r="Y81" s="325"/>
      <c r="AH81" s="323"/>
      <c r="AI81" s="323"/>
    </row>
    <row r="82" spans="23:35" s="321" customFormat="1" x14ac:dyDescent="0.35">
      <c r="W82" s="325"/>
      <c r="X82" s="325"/>
      <c r="Y82" s="325"/>
      <c r="AH82" s="323"/>
      <c r="AI82" s="323"/>
    </row>
    <row r="83" spans="23:35" s="321" customFormat="1" x14ac:dyDescent="0.35">
      <c r="W83" s="325"/>
      <c r="X83" s="325"/>
      <c r="Y83" s="325"/>
      <c r="AH83" s="323"/>
      <c r="AI83" s="323"/>
    </row>
    <row r="84" spans="23:35" s="321" customFormat="1" x14ac:dyDescent="0.35">
      <c r="W84" s="325"/>
      <c r="X84" s="325"/>
      <c r="Y84" s="325"/>
      <c r="AH84" s="323"/>
      <c r="AI84" s="323"/>
    </row>
    <row r="85" spans="23:35" s="321" customFormat="1" x14ac:dyDescent="0.35">
      <c r="W85" s="325"/>
      <c r="X85" s="325"/>
      <c r="Y85" s="325"/>
      <c r="AH85" s="323"/>
      <c r="AI85" s="323"/>
    </row>
    <row r="86" spans="23:35" s="321" customFormat="1" x14ac:dyDescent="0.35">
      <c r="W86" s="325"/>
      <c r="X86" s="325"/>
      <c r="Y86" s="325"/>
      <c r="AH86" s="323"/>
      <c r="AI86" s="323"/>
    </row>
    <row r="87" spans="23:35" s="321" customFormat="1" x14ac:dyDescent="0.35">
      <c r="W87" s="325"/>
      <c r="X87" s="325"/>
      <c r="Y87" s="325"/>
      <c r="AH87" s="323"/>
      <c r="AI87" s="323"/>
    </row>
    <row r="88" spans="23:35" s="321" customFormat="1" x14ac:dyDescent="0.35">
      <c r="W88" s="325"/>
      <c r="X88" s="325"/>
      <c r="Y88" s="325"/>
      <c r="AH88" s="323"/>
      <c r="AI88" s="323"/>
    </row>
    <row r="89" spans="23:35" s="321" customFormat="1" x14ac:dyDescent="0.35">
      <c r="W89" s="325"/>
      <c r="X89" s="325"/>
      <c r="Y89" s="325"/>
      <c r="AH89" s="323"/>
      <c r="AI89" s="323"/>
    </row>
    <row r="90" spans="23:35" s="321" customFormat="1" x14ac:dyDescent="0.35">
      <c r="W90" s="325"/>
      <c r="X90" s="325"/>
      <c r="Y90" s="325"/>
      <c r="AH90" s="323"/>
      <c r="AI90" s="323"/>
    </row>
    <row r="91" spans="23:35" s="321" customFormat="1" x14ac:dyDescent="0.35">
      <c r="W91" s="325"/>
      <c r="X91" s="325"/>
      <c r="Y91" s="325"/>
      <c r="AH91" s="323"/>
      <c r="AI91" s="323"/>
    </row>
    <row r="92" spans="23:35" s="321" customFormat="1" x14ac:dyDescent="0.35">
      <c r="W92" s="325"/>
      <c r="X92" s="325"/>
      <c r="Y92" s="325"/>
      <c r="AH92" s="323"/>
      <c r="AI92" s="323"/>
    </row>
    <row r="93" spans="23:35" s="321" customFormat="1" x14ac:dyDescent="0.35">
      <c r="W93" s="325"/>
      <c r="X93" s="325"/>
      <c r="Y93" s="325"/>
      <c r="AH93" s="323"/>
      <c r="AI93" s="323"/>
    </row>
    <row r="94" spans="23:35" s="321" customFormat="1" x14ac:dyDescent="0.35">
      <c r="W94" s="325"/>
      <c r="X94" s="325"/>
      <c r="Y94" s="325"/>
      <c r="AH94" s="323"/>
      <c r="AI94" s="323"/>
    </row>
    <row r="95" spans="23:35" s="321" customFormat="1" x14ac:dyDescent="0.35">
      <c r="W95" s="325"/>
      <c r="X95" s="325"/>
      <c r="Y95" s="325"/>
      <c r="AH95" s="323"/>
      <c r="AI95" s="323"/>
    </row>
    <row r="96" spans="23:35" s="321" customFormat="1" x14ac:dyDescent="0.35">
      <c r="W96" s="325"/>
      <c r="X96" s="325"/>
      <c r="Y96" s="325"/>
      <c r="AH96" s="323"/>
      <c r="AI96" s="323"/>
    </row>
    <row r="97" spans="23:35" s="321" customFormat="1" x14ac:dyDescent="0.35">
      <c r="W97" s="325"/>
      <c r="X97" s="325"/>
      <c r="Y97" s="325"/>
      <c r="AH97" s="323"/>
      <c r="AI97" s="323"/>
    </row>
    <row r="98" spans="23:35" s="321" customFormat="1" x14ac:dyDescent="0.35">
      <c r="W98" s="325"/>
      <c r="X98" s="325"/>
      <c r="Y98" s="325"/>
      <c r="AH98" s="323"/>
      <c r="AI98" s="323"/>
    </row>
    <row r="99" spans="23:35" s="321" customFormat="1" x14ac:dyDescent="0.35">
      <c r="W99" s="325"/>
      <c r="X99" s="325"/>
      <c r="Y99" s="325"/>
      <c r="AH99" s="323"/>
      <c r="AI99" s="323"/>
    </row>
    <row r="100" spans="23:35" s="321" customFormat="1" x14ac:dyDescent="0.35">
      <c r="W100" s="325"/>
      <c r="X100" s="325"/>
      <c r="Y100" s="325"/>
      <c r="AH100" s="323"/>
      <c r="AI100" s="323"/>
    </row>
    <row r="101" spans="23:35" s="321" customFormat="1" x14ac:dyDescent="0.35">
      <c r="W101" s="325"/>
      <c r="X101" s="325"/>
      <c r="Y101" s="325"/>
      <c r="AH101" s="323"/>
      <c r="AI101" s="323"/>
    </row>
    <row r="102" spans="23:35" s="321" customFormat="1" x14ac:dyDescent="0.35">
      <c r="W102" s="325"/>
      <c r="X102" s="325"/>
      <c r="Y102" s="325"/>
      <c r="AH102" s="323"/>
      <c r="AI102" s="323"/>
    </row>
    <row r="103" spans="23:35" s="321" customFormat="1" x14ac:dyDescent="0.35">
      <c r="W103" s="325"/>
      <c r="X103" s="325"/>
      <c r="Y103" s="325"/>
      <c r="AH103" s="323"/>
      <c r="AI103" s="323"/>
    </row>
    <row r="104" spans="23:35" s="321" customFormat="1" x14ac:dyDescent="0.35">
      <c r="W104" s="325"/>
      <c r="X104" s="325"/>
      <c r="Y104" s="325"/>
      <c r="AH104" s="323"/>
      <c r="AI104" s="323"/>
    </row>
    <row r="105" spans="23:35" s="321" customFormat="1" x14ac:dyDescent="0.35">
      <c r="W105" s="325"/>
      <c r="X105" s="325"/>
      <c r="Y105" s="325"/>
      <c r="AH105" s="323"/>
      <c r="AI105" s="323"/>
    </row>
    <row r="106" spans="23:35" s="321" customFormat="1" x14ac:dyDescent="0.35">
      <c r="W106" s="325"/>
      <c r="X106" s="325"/>
      <c r="Y106" s="325"/>
      <c r="AH106" s="323"/>
      <c r="AI106" s="323"/>
    </row>
    <row r="107" spans="23:35" s="321" customFormat="1" x14ac:dyDescent="0.35">
      <c r="W107" s="325"/>
      <c r="X107" s="325"/>
      <c r="Y107" s="325"/>
      <c r="AH107" s="323"/>
      <c r="AI107" s="323"/>
    </row>
    <row r="108" spans="23:35" s="321" customFormat="1" x14ac:dyDescent="0.35">
      <c r="W108" s="325"/>
      <c r="X108" s="325"/>
      <c r="Y108" s="325"/>
      <c r="AH108" s="323"/>
      <c r="AI108" s="323"/>
    </row>
    <row r="109" spans="23:35" s="321" customFormat="1" x14ac:dyDescent="0.35">
      <c r="W109" s="325"/>
      <c r="X109" s="325"/>
      <c r="Y109" s="325"/>
      <c r="AH109" s="323"/>
      <c r="AI109" s="323"/>
    </row>
    <row r="110" spans="23:35" s="321" customFormat="1" x14ac:dyDescent="0.35">
      <c r="W110" s="325"/>
      <c r="X110" s="325"/>
      <c r="Y110" s="325"/>
      <c r="AH110" s="323"/>
      <c r="AI110" s="323"/>
    </row>
    <row r="111" spans="23:35" s="321" customFormat="1" x14ac:dyDescent="0.35">
      <c r="W111" s="325"/>
      <c r="X111" s="325"/>
      <c r="Y111" s="325"/>
      <c r="AH111" s="323"/>
      <c r="AI111" s="323"/>
    </row>
    <row r="112" spans="23:35" s="321" customFormat="1" x14ac:dyDescent="0.35">
      <c r="W112" s="325"/>
      <c r="X112" s="325"/>
      <c r="Y112" s="325"/>
      <c r="AH112" s="323"/>
      <c r="AI112" s="323"/>
    </row>
    <row r="113" spans="23:35" s="321" customFormat="1" x14ac:dyDescent="0.35">
      <c r="W113" s="325"/>
      <c r="X113" s="325"/>
      <c r="Y113" s="325"/>
      <c r="AH113" s="323"/>
      <c r="AI113" s="323"/>
    </row>
    <row r="114" spans="23:35" s="321" customFormat="1" x14ac:dyDescent="0.35">
      <c r="W114" s="325"/>
      <c r="X114" s="325"/>
      <c r="Y114" s="325"/>
      <c r="AH114" s="323"/>
      <c r="AI114" s="323"/>
    </row>
    <row r="115" spans="23:35" s="321" customFormat="1" x14ac:dyDescent="0.35">
      <c r="W115" s="325"/>
      <c r="X115" s="325"/>
      <c r="Y115" s="325"/>
      <c r="AH115" s="323"/>
      <c r="AI115" s="323"/>
    </row>
    <row r="116" spans="23:35" s="321" customFormat="1" x14ac:dyDescent="0.35">
      <c r="W116" s="325"/>
      <c r="X116" s="325"/>
      <c r="Y116" s="325"/>
      <c r="AH116" s="323"/>
      <c r="AI116" s="323"/>
    </row>
    <row r="117" spans="23:35" s="321" customFormat="1" x14ac:dyDescent="0.35">
      <c r="W117" s="325"/>
      <c r="X117" s="325"/>
      <c r="Y117" s="325"/>
      <c r="AH117" s="323"/>
      <c r="AI117" s="323"/>
    </row>
    <row r="118" spans="23:35" s="321" customFormat="1" x14ac:dyDescent="0.35">
      <c r="W118" s="325"/>
      <c r="X118" s="325"/>
      <c r="Y118" s="325"/>
      <c r="AH118" s="323"/>
      <c r="AI118" s="323"/>
    </row>
    <row r="119" spans="23:35" s="321" customFormat="1" x14ac:dyDescent="0.35">
      <c r="W119" s="325"/>
      <c r="X119" s="325"/>
      <c r="Y119" s="325"/>
      <c r="AH119" s="323"/>
      <c r="AI119" s="323"/>
    </row>
    <row r="120" spans="23:35" s="321" customFormat="1" x14ac:dyDescent="0.35">
      <c r="W120" s="325"/>
      <c r="X120" s="325"/>
      <c r="Y120" s="325"/>
      <c r="AH120" s="323"/>
      <c r="AI120" s="323"/>
    </row>
    <row r="121" spans="23:35" s="321" customFormat="1" x14ac:dyDescent="0.35">
      <c r="W121" s="325"/>
      <c r="X121" s="325"/>
      <c r="Y121" s="325"/>
      <c r="AH121" s="323"/>
      <c r="AI121" s="323"/>
    </row>
    <row r="122" spans="23:35" s="321" customFormat="1" x14ac:dyDescent="0.35">
      <c r="W122" s="325"/>
      <c r="X122" s="325"/>
      <c r="Y122" s="325"/>
      <c r="AH122" s="323"/>
      <c r="AI122" s="323"/>
    </row>
    <row r="123" spans="23:35" s="321" customFormat="1" x14ac:dyDescent="0.35">
      <c r="W123" s="325"/>
      <c r="X123" s="325"/>
      <c r="Y123" s="325"/>
      <c r="AH123" s="323"/>
      <c r="AI123" s="323"/>
    </row>
    <row r="124" spans="23:35" s="321" customFormat="1" x14ac:dyDescent="0.35">
      <c r="W124" s="325"/>
      <c r="X124" s="325"/>
      <c r="Y124" s="325"/>
      <c r="AH124" s="323"/>
      <c r="AI124" s="323"/>
    </row>
    <row r="125" spans="23:35" s="321" customFormat="1" x14ac:dyDescent="0.35">
      <c r="W125" s="325"/>
      <c r="X125" s="325"/>
      <c r="Y125" s="325"/>
      <c r="AH125" s="323"/>
      <c r="AI125" s="323"/>
    </row>
    <row r="126" spans="23:35" s="321" customFormat="1" x14ac:dyDescent="0.35">
      <c r="W126" s="325"/>
      <c r="X126" s="325"/>
      <c r="Y126" s="325"/>
      <c r="AH126" s="323"/>
      <c r="AI126" s="323"/>
    </row>
    <row r="127" spans="23:35" s="321" customFormat="1" x14ac:dyDescent="0.35">
      <c r="W127" s="325"/>
      <c r="X127" s="325"/>
      <c r="Y127" s="325"/>
      <c r="AH127" s="323"/>
      <c r="AI127" s="323"/>
    </row>
    <row r="128" spans="23:35" s="321" customFormat="1" x14ac:dyDescent="0.35">
      <c r="W128" s="325"/>
      <c r="X128" s="325"/>
      <c r="Y128" s="325"/>
      <c r="AH128" s="323"/>
      <c r="AI128" s="323"/>
    </row>
    <row r="129" spans="23:35" s="321" customFormat="1" x14ac:dyDescent="0.35">
      <c r="W129" s="325"/>
      <c r="X129" s="325"/>
      <c r="Y129" s="325"/>
      <c r="AH129" s="323"/>
      <c r="AI129" s="323"/>
    </row>
    <row r="130" spans="23:35" s="321" customFormat="1" x14ac:dyDescent="0.35">
      <c r="W130" s="325"/>
      <c r="X130" s="325"/>
      <c r="Y130" s="325"/>
      <c r="AH130" s="323"/>
      <c r="AI130" s="323"/>
    </row>
    <row r="131" spans="23:35" s="321" customFormat="1" x14ac:dyDescent="0.35">
      <c r="W131" s="325"/>
      <c r="X131" s="325"/>
      <c r="Y131" s="325"/>
      <c r="AH131" s="323"/>
      <c r="AI131" s="323"/>
    </row>
    <row r="132" spans="23:35" s="321" customFormat="1" x14ac:dyDescent="0.35">
      <c r="W132" s="325"/>
      <c r="X132" s="325"/>
      <c r="Y132" s="325"/>
      <c r="AH132" s="323"/>
      <c r="AI132" s="323"/>
    </row>
    <row r="133" spans="23:35" s="321" customFormat="1" x14ac:dyDescent="0.35">
      <c r="W133" s="325"/>
      <c r="X133" s="325"/>
      <c r="Y133" s="325"/>
      <c r="AH133" s="323"/>
      <c r="AI133" s="323"/>
    </row>
    <row r="134" spans="23:35" s="321" customFormat="1" x14ac:dyDescent="0.35">
      <c r="W134" s="325"/>
      <c r="X134" s="325"/>
      <c r="Y134" s="325"/>
      <c r="AH134" s="323"/>
      <c r="AI134" s="323"/>
    </row>
  </sheetData>
  <mergeCells count="96">
    <mergeCell ref="AB1:AC1"/>
    <mergeCell ref="A2:AG2"/>
    <mergeCell ref="A4:A6"/>
    <mergeCell ref="B4:G6"/>
    <mergeCell ref="H4:H6"/>
    <mergeCell ref="I4:J5"/>
    <mergeCell ref="K4:K6"/>
    <mergeCell ref="L4:L6"/>
    <mergeCell ref="AF5:AF6"/>
    <mergeCell ref="AG5:AG6"/>
    <mergeCell ref="AE5:AE6"/>
    <mergeCell ref="AC5:AC6"/>
    <mergeCell ref="AD5:AD6"/>
    <mergeCell ref="M4:M6"/>
    <mergeCell ref="N4:N6"/>
    <mergeCell ref="O4:V4"/>
    <mergeCell ref="W4:Y4"/>
    <mergeCell ref="Q5:Q6"/>
    <mergeCell ref="R5:R6"/>
    <mergeCell ref="W5:W6"/>
    <mergeCell ref="X5:X6"/>
    <mergeCell ref="Y5:Y6"/>
    <mergeCell ref="B7:G7"/>
    <mergeCell ref="B8:G8"/>
    <mergeCell ref="Z5:Z6"/>
    <mergeCell ref="AA5:AA6"/>
    <mergeCell ref="AB5:AB6"/>
    <mergeCell ref="O18:R18"/>
    <mergeCell ref="AD18:AE18"/>
    <mergeCell ref="B19:G19"/>
    <mergeCell ref="B9:G9"/>
    <mergeCell ref="B10:G10"/>
    <mergeCell ref="B12:G12"/>
    <mergeCell ref="B13:G13"/>
    <mergeCell ref="B14:G14"/>
    <mergeCell ref="B15:G15"/>
    <mergeCell ref="B23:G23"/>
    <mergeCell ref="B29:G29"/>
    <mergeCell ref="B16:G16"/>
    <mergeCell ref="B17:G17"/>
    <mergeCell ref="B18:G18"/>
    <mergeCell ref="B20:G20"/>
    <mergeCell ref="O20:R20"/>
    <mergeCell ref="AD20:AE20"/>
    <mergeCell ref="B21:G21"/>
    <mergeCell ref="B22:G22"/>
    <mergeCell ref="B36:G36"/>
    <mergeCell ref="B24:G24"/>
    <mergeCell ref="B25:G25"/>
    <mergeCell ref="B26:G26"/>
    <mergeCell ref="B27:G27"/>
    <mergeCell ref="B28:G28"/>
    <mergeCell ref="B30:G30"/>
    <mergeCell ref="B31:G31"/>
    <mergeCell ref="B32:G32"/>
    <mergeCell ref="B33:G33"/>
    <mergeCell ref="B34:G34"/>
    <mergeCell ref="B35:G35"/>
    <mergeCell ref="B52:G52"/>
    <mergeCell ref="B37:G37"/>
    <mergeCell ref="B38:G38"/>
    <mergeCell ref="B39:G39"/>
    <mergeCell ref="B40:G40"/>
    <mergeCell ref="B41:G41"/>
    <mergeCell ref="B42:G42"/>
    <mergeCell ref="B43:G43"/>
    <mergeCell ref="B47:G47"/>
    <mergeCell ref="B48:G48"/>
    <mergeCell ref="B49:G49"/>
    <mergeCell ref="B50:G50"/>
    <mergeCell ref="B44:E44"/>
    <mergeCell ref="B45:E45"/>
    <mergeCell ref="B46:E46"/>
    <mergeCell ref="B64:E64"/>
    <mergeCell ref="B67:Y67"/>
    <mergeCell ref="B69:Y69"/>
    <mergeCell ref="B68:Y68"/>
    <mergeCell ref="B53:G53"/>
    <mergeCell ref="B54:F54"/>
    <mergeCell ref="B55:F55"/>
    <mergeCell ref="B56:F56"/>
    <mergeCell ref="B57:F57"/>
    <mergeCell ref="B58:F58"/>
    <mergeCell ref="B59:F59"/>
    <mergeCell ref="B60:F60"/>
    <mergeCell ref="B61:F61"/>
    <mergeCell ref="B62:E62"/>
    <mergeCell ref="B63:E63"/>
    <mergeCell ref="D76:E76"/>
    <mergeCell ref="D77:E77"/>
    <mergeCell ref="B65:E65"/>
    <mergeCell ref="A70:AE70"/>
    <mergeCell ref="A72:E72"/>
    <mergeCell ref="D73:E73"/>
    <mergeCell ref="D74:E74"/>
    <mergeCell ref="D75:E75"/>
  </mergeCells>
  <pageMargins left="1.1417322834645669" right="0.19685039370078741" top="0.39370078740157483" bottom="0.31496062992125984" header="0.31496062992125984" footer="0.19685039370078741"/>
  <pageSetup paperSize="8" scale="37" orientation="landscape" r:id="rId1"/>
  <headerFooter>
    <oddFooter>&amp;L&amp;Z&amp;F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ЖУ</vt:lpstr>
      <vt:lpstr>ЖУ!Область_печати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Фоминцева</dc:creator>
  <cp:lastModifiedBy>Радько</cp:lastModifiedBy>
  <cp:lastPrinted>2015-04-14T08:46:43Z</cp:lastPrinted>
  <dcterms:created xsi:type="dcterms:W3CDTF">2015-03-03T13:36:30Z</dcterms:created>
  <dcterms:modified xsi:type="dcterms:W3CDTF">2015-04-22T11:21:57Z</dcterms:modified>
</cp:coreProperties>
</file>